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ustomProperty1.bin" ContentType="application/vnd.openxmlformats-officedocument.spreadsheetml.customProperty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dbh-fs01\Administrative_Services\Fiscal\DBHBUCKS\Fiscal\Contracts\MLH\Sch A Templates\1. CalAim (Fee for Service)\ChRIS\RFP 25-99\"/>
    </mc:Choice>
  </mc:AlternateContent>
  <xr:revisionPtr revIDLastSave="0" documentId="13_ncr:1_{71813341-4A45-4078-B25E-7D18270FFEBC}" xr6:coauthVersionLast="47" xr6:coauthVersionMax="47" xr10:uidLastSave="{00000000-0000-0000-0000-000000000000}"/>
  <workbookProtection workbookAlgorithmName="SHA-512" workbookHashValue="HIEO1eo4ZObzaCtXBXfsRqq1kvV0n4BuxM9Dicu77nspqUOF6AyJFI9XfDFQ+SbJAvb3LJ7rvgfAG8Nl5b9JrA==" workbookSaltValue="c/rd/QG8uKuDuNvxc1rpTA==" workbookSpinCount="100000" lockStructure="1"/>
  <bookViews>
    <workbookView xWindow="28680" yWindow="-120" windowWidth="29040" windowHeight="15720" xr2:uid="{ED78524A-06C8-4FC6-85F6-41CE3A9378C2}"/>
  </bookViews>
  <sheets>
    <sheet name="Instructions" sheetId="24" r:id="rId1"/>
    <sheet name="PSAS Staff Instructions" sheetId="29" state="hidden" r:id="rId2"/>
    <sheet name="Schedule A" sheetId="6" r:id="rId3"/>
    <sheet name="Service Delivery Staff" sheetId="7" r:id="rId4"/>
    <sheet name="Other Staff" sheetId="17" state="hidden" r:id="rId5"/>
    <sheet name="Operating Costs" sheetId="3" state="hidden" r:id="rId6"/>
    <sheet name="Op. Cost Narrative" sheetId="9" state="hidden" r:id="rId7"/>
    <sheet name="Srv Proj Modes 05,10,15" sheetId="14" r:id="rId8"/>
    <sheet name="Dosage Estimates" sheetId="15" r:id="rId9"/>
    <sheet name="RATES" sheetId="27" state="hidden" r:id="rId10"/>
    <sheet name="Program Instructions" sheetId="28" state="hidden" r:id="rId11"/>
    <sheet name="Rates Utilized by DBH Per Min" sheetId="19" state="hidden" r:id="rId12"/>
    <sheet name="SMHS Rates for Program" sheetId="16" state="hidden" r:id="rId13"/>
    <sheet name="Service Planning Worksheet" sheetId="20" state="hidden" r:id="rId14"/>
    <sheet name="Staffing Planning Worksheet" sheetId="23" state="hidden" r:id="rId15"/>
    <sheet name="List of Values" sheetId="21" state="hidden" r:id="rId16"/>
  </sheets>
  <definedNames>
    <definedName name="_xlnm._FilterDatabase" localSheetId="11" hidden="1">'Rates Utilized by DBH Per Min'!$C$5:$H$5</definedName>
    <definedName name="_xlnm.Print_Area" localSheetId="5">'Operating Costs'!$A$1:$M$32</definedName>
    <definedName name="_xlnm.Print_Area" localSheetId="11">'Rates Utilized by DBH Per Min'!#REF!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3" i="14" l="1"/>
  <c r="J5" i="6" l="1"/>
  <c r="B20" i="14"/>
  <c r="Q9" i="14"/>
  <c r="V9" i="14" s="1"/>
  <c r="R9" i="14"/>
  <c r="S9" i="14"/>
  <c r="T9" i="14"/>
  <c r="X9" i="14"/>
  <c r="Y9" i="14"/>
  <c r="Z9" i="14"/>
  <c r="AA9" i="14"/>
  <c r="AB9" i="14"/>
  <c r="AC9" i="14"/>
  <c r="Q10" i="14"/>
  <c r="R10" i="14"/>
  <c r="S10" i="14"/>
  <c r="T10" i="14"/>
  <c r="V10" i="14"/>
  <c r="X10" i="14"/>
  <c r="Y10" i="14"/>
  <c r="Z10" i="14"/>
  <c r="AA10" i="14"/>
  <c r="AB10" i="14"/>
  <c r="AC10" i="14"/>
  <c r="Q11" i="14"/>
  <c r="R11" i="14"/>
  <c r="S11" i="14"/>
  <c r="T11" i="14"/>
  <c r="V11" i="14"/>
  <c r="X11" i="14"/>
  <c r="Y11" i="14"/>
  <c r="Z11" i="14"/>
  <c r="AA11" i="14"/>
  <c r="AB11" i="14"/>
  <c r="AC11" i="14"/>
  <c r="Q12" i="14"/>
  <c r="R12" i="14"/>
  <c r="S12" i="14"/>
  <c r="T12" i="14"/>
  <c r="V12" i="14"/>
  <c r="X12" i="14"/>
  <c r="Y12" i="14"/>
  <c r="Z12" i="14"/>
  <c r="AA12" i="14"/>
  <c r="AB12" i="14"/>
  <c r="AC12" i="14"/>
  <c r="Q13" i="14"/>
  <c r="V13" i="14" s="1"/>
  <c r="R13" i="14"/>
  <c r="S13" i="14"/>
  <c r="T13" i="14"/>
  <c r="X13" i="14"/>
  <c r="Y13" i="14"/>
  <c r="Z13" i="14"/>
  <c r="AA13" i="14"/>
  <c r="AB13" i="14"/>
  <c r="AC13" i="14"/>
  <c r="Q14" i="14"/>
  <c r="R14" i="14"/>
  <c r="S14" i="14"/>
  <c r="T14" i="14"/>
  <c r="V14" i="14"/>
  <c r="X14" i="14"/>
  <c r="Y14" i="14"/>
  <c r="Z14" i="14"/>
  <c r="AA14" i="14"/>
  <c r="AB14" i="14"/>
  <c r="AC14" i="14"/>
  <c r="Q15" i="14"/>
  <c r="R15" i="14"/>
  <c r="S15" i="14"/>
  <c r="T15" i="14"/>
  <c r="V15" i="14"/>
  <c r="X15" i="14"/>
  <c r="Y15" i="14"/>
  <c r="Z15" i="14"/>
  <c r="AA15" i="14"/>
  <c r="AB15" i="14"/>
  <c r="AC15" i="14"/>
  <c r="Q16" i="14"/>
  <c r="R16" i="14"/>
  <c r="S16" i="14"/>
  <c r="T16" i="14"/>
  <c r="V16" i="14"/>
  <c r="X16" i="14"/>
  <c r="Y16" i="14"/>
  <c r="Z16" i="14"/>
  <c r="AA16" i="14"/>
  <c r="AB16" i="14"/>
  <c r="AC16" i="14"/>
  <c r="Q17" i="14"/>
  <c r="V17" i="14" s="1"/>
  <c r="R17" i="14"/>
  <c r="S17" i="14"/>
  <c r="T17" i="14"/>
  <c r="X17" i="14"/>
  <c r="Y17" i="14"/>
  <c r="Z17" i="14"/>
  <c r="AA17" i="14"/>
  <c r="AB17" i="14"/>
  <c r="AC17" i="14"/>
  <c r="Q18" i="14"/>
  <c r="V18" i="14" s="1"/>
  <c r="R18" i="14"/>
  <c r="S18" i="14"/>
  <c r="T18" i="14"/>
  <c r="X18" i="14"/>
  <c r="Y18" i="14"/>
  <c r="Z18" i="14"/>
  <c r="AA18" i="14"/>
  <c r="AB18" i="14"/>
  <c r="AC18" i="14"/>
  <c r="Q19" i="14"/>
  <c r="V19" i="14" s="1"/>
  <c r="R19" i="14"/>
  <c r="S19" i="14"/>
  <c r="T19" i="14"/>
  <c r="X19" i="14"/>
  <c r="Y19" i="14"/>
  <c r="Z19" i="14"/>
  <c r="AA19" i="14"/>
  <c r="AB19" i="14"/>
  <c r="AC19" i="14"/>
  <c r="Q20" i="14"/>
  <c r="V20" i="14" s="1"/>
  <c r="R20" i="14"/>
  <c r="S20" i="14"/>
  <c r="T20" i="14"/>
  <c r="X20" i="14"/>
  <c r="Y20" i="14"/>
  <c r="Z20" i="14"/>
  <c r="AA20" i="14"/>
  <c r="AB20" i="14"/>
  <c r="AC20" i="14"/>
  <c r="Q21" i="14"/>
  <c r="V21" i="14" s="1"/>
  <c r="R21" i="14"/>
  <c r="S21" i="14"/>
  <c r="T21" i="14"/>
  <c r="X21" i="14"/>
  <c r="Y21" i="14"/>
  <c r="Z21" i="14"/>
  <c r="AA21" i="14"/>
  <c r="AB21" i="14"/>
  <c r="AC21" i="14"/>
  <c r="Q22" i="14"/>
  <c r="V22" i="14" s="1"/>
  <c r="R22" i="14"/>
  <c r="S22" i="14"/>
  <c r="T22" i="14"/>
  <c r="X22" i="14"/>
  <c r="Y22" i="14"/>
  <c r="Z22" i="14"/>
  <c r="AA22" i="14"/>
  <c r="AB22" i="14"/>
  <c r="AC22" i="14"/>
  <c r="Q23" i="14"/>
  <c r="R23" i="14"/>
  <c r="S23" i="14"/>
  <c r="T23" i="14"/>
  <c r="V23" i="14"/>
  <c r="X23" i="14"/>
  <c r="Y23" i="14"/>
  <c r="Z23" i="14"/>
  <c r="AA23" i="14"/>
  <c r="AB23" i="14"/>
  <c r="AC23" i="14"/>
  <c r="Q8" i="14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6" i="23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3" i="16"/>
  <c r="D7" i="19"/>
  <c r="D8" i="19"/>
  <c r="D9" i="19"/>
  <c r="D10" i="19"/>
  <c r="D11" i="19"/>
  <c r="D12" i="19"/>
  <c r="D13" i="19"/>
  <c r="D14" i="19"/>
  <c r="D15" i="19"/>
  <c r="D16" i="19"/>
  <c r="D17" i="19"/>
  <c r="D18" i="19"/>
  <c r="D19" i="19"/>
  <c r="D20" i="19"/>
  <c r="D21" i="19"/>
  <c r="D6" i="19"/>
  <c r="I22" i="6" l="1"/>
  <c r="J22" i="6"/>
  <c r="E15" i="20"/>
  <c r="C19" i="27" l="1"/>
  <c r="B19" i="27"/>
  <c r="C18" i="27"/>
  <c r="B18" i="27"/>
  <c r="C17" i="27"/>
  <c r="B17" i="27"/>
  <c r="C16" i="27"/>
  <c r="B16" i="27"/>
  <c r="C15" i="27"/>
  <c r="B15" i="27"/>
  <c r="C14" i="27"/>
  <c r="B14" i="27"/>
  <c r="C13" i="27"/>
  <c r="B13" i="27"/>
  <c r="C12" i="27"/>
  <c r="B12" i="27"/>
  <c r="C11" i="27"/>
  <c r="B11" i="27"/>
  <c r="C10" i="27"/>
  <c r="B10" i="27"/>
  <c r="C9" i="27"/>
  <c r="B9" i="27"/>
  <c r="C8" i="27"/>
  <c r="B8" i="27"/>
  <c r="C7" i="27"/>
  <c r="B7" i="27"/>
  <c r="C6" i="27"/>
  <c r="B6" i="27"/>
  <c r="C5" i="27"/>
  <c r="B5" i="27"/>
  <c r="C4" i="27"/>
  <c r="B4" i="27"/>
  <c r="G6" i="19" a="1"/>
  <c r="G6" i="19" s="1"/>
  <c r="G7" i="19" a="1"/>
  <c r="G7" i="19"/>
  <c r="H7" i="19"/>
  <c r="E4" i="16"/>
  <c r="D4" i="16"/>
  <c r="D7" i="23" s="1"/>
  <c r="G8" i="19" a="1"/>
  <c r="G8" i="19"/>
  <c r="B5" i="16" s="1"/>
  <c r="H8" i="19"/>
  <c r="E5" i="16" s="1"/>
  <c r="D5" i="16" s="1"/>
  <c r="G9" i="19" a="1"/>
  <c r="G9" i="19" s="1"/>
  <c r="G10" i="19" a="1"/>
  <c r="G10" i="19" s="1"/>
  <c r="G11" i="19" a="1"/>
  <c r="G11" i="19" s="1"/>
  <c r="G12" i="19" a="1"/>
  <c r="G12" i="19"/>
  <c r="B9" i="16" s="1"/>
  <c r="H12" i="19"/>
  <c r="E9" i="16" s="1"/>
  <c r="D9" i="16" s="1"/>
  <c r="G13" i="19" a="1"/>
  <c r="G13" i="19" s="1"/>
  <c r="G14" i="19" a="1"/>
  <c r="G14" i="19"/>
  <c r="H14" i="19"/>
  <c r="E11" i="16"/>
  <c r="D11" i="16"/>
  <c r="D14" i="23" s="1"/>
  <c r="G15" i="19" a="1"/>
  <c r="G15" i="19"/>
  <c r="B12" i="16" s="1"/>
  <c r="H15" i="19"/>
  <c r="E12" i="16" s="1"/>
  <c r="D12" i="16" s="1"/>
  <c r="G16" i="19" a="1"/>
  <c r="G16" i="19" s="1"/>
  <c r="G17" i="19" a="1"/>
  <c r="G17" i="19" s="1"/>
  <c r="G18" i="19" a="1"/>
  <c r="G18" i="19"/>
  <c r="H18" i="19"/>
  <c r="E15" i="16" s="1"/>
  <c r="D15" i="16" s="1"/>
  <c r="G19" i="19" a="1"/>
  <c r="G19" i="19"/>
  <c r="B16" i="16" s="1"/>
  <c r="H19" i="19"/>
  <c r="E16" i="16" s="1"/>
  <c r="D16" i="16" s="1"/>
  <c r="G20" i="19" a="1"/>
  <c r="G20" i="19" s="1"/>
  <c r="G21" i="19" a="1"/>
  <c r="G21" i="19"/>
  <c r="H21" i="19"/>
  <c r="E18" i="16"/>
  <c r="D18" i="16"/>
  <c r="D21" i="23" s="1"/>
  <c r="A5" i="20"/>
  <c r="D1" i="16"/>
  <c r="E2" i="16"/>
  <c r="L9" i="14"/>
  <c r="L10" i="14"/>
  <c r="L11" i="14"/>
  <c r="L12" i="14"/>
  <c r="L13" i="14"/>
  <c r="L8" i="14"/>
  <c r="K9" i="14"/>
  <c r="K10" i="14"/>
  <c r="K11" i="14"/>
  <c r="K12" i="14"/>
  <c r="K13" i="14"/>
  <c r="K8" i="14"/>
  <c r="I6" i="9"/>
  <c r="I7" i="9"/>
  <c r="I8" i="9"/>
  <c r="I9" i="9"/>
  <c r="I10" i="9"/>
  <c r="I5" i="9"/>
  <c r="H6" i="9"/>
  <c r="H7" i="9"/>
  <c r="H8" i="9"/>
  <c r="H9" i="9"/>
  <c r="H10" i="9"/>
  <c r="H5" i="9"/>
  <c r="J5" i="3"/>
  <c r="J6" i="3"/>
  <c r="J7" i="3"/>
  <c r="J8" i="3"/>
  <c r="J9" i="3"/>
  <c r="J4" i="3"/>
  <c r="I5" i="3"/>
  <c r="I6" i="3"/>
  <c r="I7" i="3"/>
  <c r="I8" i="3"/>
  <c r="I9" i="3"/>
  <c r="I4" i="3"/>
  <c r="C7" i="17"/>
  <c r="C7" i="7"/>
  <c r="K4" i="15"/>
  <c r="C44" i="20"/>
  <c r="B44" i="20"/>
  <c r="F24" i="20"/>
  <c r="I18" i="20" s="1"/>
  <c r="F23" i="20"/>
  <c r="F22" i="20"/>
  <c r="I17" i="20" s="1"/>
  <c r="F21" i="20"/>
  <c r="I16" i="20"/>
  <c r="J16" i="20" s="1"/>
  <c r="F20" i="20"/>
  <c r="F19" i="20"/>
  <c r="F18" i="20"/>
  <c r="F17" i="20"/>
  <c r="F16" i="20"/>
  <c r="F15" i="20"/>
  <c r="I15" i="20"/>
  <c r="J15" i="20" s="1"/>
  <c r="F14" i="20"/>
  <c r="I14" i="20"/>
  <c r="M14" i="20" s="1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N30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P30" i="3"/>
  <c r="L12" i="17"/>
  <c r="L13" i="17"/>
  <c r="L14" i="17"/>
  <c r="L31" i="17"/>
  <c r="M12" i="17"/>
  <c r="M13" i="17"/>
  <c r="M14" i="17"/>
  <c r="M15" i="17"/>
  <c r="M16" i="17"/>
  <c r="M31" i="17"/>
  <c r="D35" i="3"/>
  <c r="P15" i="3"/>
  <c r="D37" i="3"/>
  <c r="P16" i="3"/>
  <c r="D38" i="3"/>
  <c r="P17" i="3"/>
  <c r="D39" i="3"/>
  <c r="P18" i="3"/>
  <c r="D40" i="3"/>
  <c r="D42" i="3"/>
  <c r="F22" i="6"/>
  <c r="G22" i="6"/>
  <c r="H22" i="6"/>
  <c r="K22" i="6"/>
  <c r="X8" i="14"/>
  <c r="Y8" i="14"/>
  <c r="Z8" i="14"/>
  <c r="AA8" i="14"/>
  <c r="AB8" i="14"/>
  <c r="AC8" i="14"/>
  <c r="B11" i="16"/>
  <c r="L15" i="17"/>
  <c r="L16" i="17"/>
  <c r="L17" i="17"/>
  <c r="L18" i="17"/>
  <c r="L19" i="17"/>
  <c r="L20" i="17"/>
  <c r="L21" i="17"/>
  <c r="L22" i="17"/>
  <c r="L23" i="17"/>
  <c r="L24" i="17"/>
  <c r="L25" i="17"/>
  <c r="L26" i="17"/>
  <c r="L27" i="17"/>
  <c r="L28" i="17"/>
  <c r="L29" i="17"/>
  <c r="L30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N20" i="14"/>
  <c r="N21" i="14" s="1"/>
  <c r="N22" i="14" s="1"/>
  <c r="N23" i="14" s="1"/>
  <c r="N24" i="14" s="1"/>
  <c r="N25" i="14" s="1"/>
  <c r="N26" i="14" s="1"/>
  <c r="N27" i="14" s="1"/>
  <c r="N28" i="14" s="1"/>
  <c r="N29" i="14" s="1"/>
  <c r="L14" i="6"/>
  <c r="C5" i="23"/>
  <c r="B5" i="23"/>
  <c r="R7" i="14"/>
  <c r="S7" i="14"/>
  <c r="Q7" i="14"/>
  <c r="H14" i="17"/>
  <c r="J14" i="17"/>
  <c r="H13" i="17"/>
  <c r="J13" i="17"/>
  <c r="K30" i="17"/>
  <c r="H30" i="17"/>
  <c r="J30" i="17"/>
  <c r="K29" i="17"/>
  <c r="H29" i="17"/>
  <c r="J29" i="17"/>
  <c r="K28" i="17"/>
  <c r="H28" i="17"/>
  <c r="J28" i="17"/>
  <c r="K27" i="17"/>
  <c r="K26" i="17"/>
  <c r="H26" i="17"/>
  <c r="J26" i="17"/>
  <c r="K25" i="17"/>
  <c r="H25" i="17"/>
  <c r="J25" i="17"/>
  <c r="K24" i="17"/>
  <c r="H24" i="17"/>
  <c r="J24" i="17"/>
  <c r="K23" i="17"/>
  <c r="H23" i="17"/>
  <c r="J23" i="17"/>
  <c r="K22" i="17"/>
  <c r="H22" i="17"/>
  <c r="J22" i="17"/>
  <c r="K21" i="17"/>
  <c r="H21" i="17"/>
  <c r="J21" i="17"/>
  <c r="K20" i="17"/>
  <c r="H20" i="17"/>
  <c r="J20" i="17"/>
  <c r="K19" i="17"/>
  <c r="H19" i="17"/>
  <c r="J19" i="17"/>
  <c r="K18" i="17"/>
  <c r="H18" i="17"/>
  <c r="J18" i="17"/>
  <c r="K17" i="17"/>
  <c r="H17" i="17"/>
  <c r="J17" i="17"/>
  <c r="K16" i="17"/>
  <c r="H16" i="17"/>
  <c r="J16" i="17"/>
  <c r="K15" i="17"/>
  <c r="H15" i="17"/>
  <c r="J15" i="17"/>
  <c r="K14" i="17"/>
  <c r="K13" i="17"/>
  <c r="K12" i="17"/>
  <c r="H12" i="17"/>
  <c r="J12" i="17"/>
  <c r="F4" i="17"/>
  <c r="F3" i="17"/>
  <c r="K31" i="17"/>
  <c r="H27" i="17"/>
  <c r="J27" i="17"/>
  <c r="J33" i="17"/>
  <c r="E14" i="3"/>
  <c r="G4" i="7"/>
  <c r="G3" i="7"/>
  <c r="B5" i="14"/>
  <c r="B4" i="14"/>
  <c r="D6" i="9"/>
  <c r="D5" i="9"/>
  <c r="E6" i="3"/>
  <c r="E5" i="3"/>
  <c r="E4" i="3"/>
  <c r="M32" i="14"/>
  <c r="L32" i="14"/>
  <c r="N32" i="14" s="1"/>
  <c r="B21" i="14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C9" i="9"/>
  <c r="C8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P28" i="3"/>
  <c r="P27" i="3"/>
  <c r="P25" i="3"/>
  <c r="P24" i="3"/>
  <c r="P20" i="3"/>
  <c r="P19" i="3"/>
  <c r="B30" i="9"/>
  <c r="B29" i="9"/>
  <c r="B28" i="9"/>
  <c r="B27" i="9"/>
  <c r="B26" i="9"/>
  <c r="B25" i="9"/>
  <c r="B24" i="9"/>
  <c r="B23" i="9"/>
  <c r="B22" i="9"/>
  <c r="B21" i="9"/>
  <c r="B20" i="9"/>
  <c r="B19" i="9"/>
  <c r="B16" i="9"/>
  <c r="E20" i="3"/>
  <c r="F20" i="3"/>
  <c r="E19" i="3"/>
  <c r="F19" i="3"/>
  <c r="E18" i="3"/>
  <c r="F18" i="3"/>
  <c r="B17" i="9"/>
  <c r="B18" i="9"/>
  <c r="B15" i="9"/>
  <c r="E15" i="3"/>
  <c r="F15" i="3"/>
  <c r="E16" i="3"/>
  <c r="F16" i="3"/>
  <c r="E17" i="3"/>
  <c r="F17" i="3"/>
  <c r="E21" i="3"/>
  <c r="F21" i="3"/>
  <c r="E22" i="3"/>
  <c r="F22" i="3"/>
  <c r="E23" i="3"/>
  <c r="F23" i="3"/>
  <c r="C8" i="3"/>
  <c r="C7" i="3"/>
  <c r="B14" i="6"/>
  <c r="F10" i="6" s="1"/>
  <c r="L21" i="6"/>
  <c r="L20" i="6"/>
  <c r="L19" i="6"/>
  <c r="L18" i="6"/>
  <c r="E26" i="3"/>
  <c r="F26" i="3"/>
  <c r="E24" i="3"/>
  <c r="F24" i="3"/>
  <c r="E28" i="3"/>
  <c r="F28" i="3"/>
  <c r="E25" i="3"/>
  <c r="F25" i="3"/>
  <c r="E29" i="3"/>
  <c r="F29" i="3"/>
  <c r="E27" i="3"/>
  <c r="F27" i="3"/>
  <c r="P29" i="3"/>
  <c r="P26" i="3"/>
  <c r="P23" i="3"/>
  <c r="P22" i="3"/>
  <c r="P21" i="3"/>
  <c r="F14" i="3"/>
  <c r="F30" i="3"/>
  <c r="C30" i="3"/>
  <c r="P14" i="3"/>
  <c r="B15" i="16"/>
  <c r="C15" i="16" s="1"/>
  <c r="B18" i="23"/>
  <c r="B4" i="16"/>
  <c r="B7" i="23"/>
  <c r="B18" i="16"/>
  <c r="B21" i="23"/>
  <c r="C18" i="16"/>
  <c r="C21" i="23"/>
  <c r="V8" i="14" l="1"/>
  <c r="B15" i="23"/>
  <c r="C12" i="16"/>
  <c r="B6" i="16"/>
  <c r="H9" i="19"/>
  <c r="E6" i="16" s="1"/>
  <c r="D6" i="16" s="1"/>
  <c r="D8" i="23"/>
  <c r="C5" i="16"/>
  <c r="B8" i="23"/>
  <c r="C11" i="16"/>
  <c r="C14" i="23" s="1"/>
  <c r="B14" i="23"/>
  <c r="H20" i="19"/>
  <c r="E17" i="16" s="1"/>
  <c r="D17" i="16" s="1"/>
  <c r="B17" i="16"/>
  <c r="D19" i="23"/>
  <c r="C16" i="16"/>
  <c r="B19" i="23"/>
  <c r="B10" i="16"/>
  <c r="H13" i="19"/>
  <c r="E10" i="16" s="1"/>
  <c r="D10" i="16" s="1"/>
  <c r="D18" i="23"/>
  <c r="D12" i="23"/>
  <c r="B12" i="23"/>
  <c r="C9" i="16"/>
  <c r="C18" i="23"/>
  <c r="H17" i="19"/>
  <c r="E14" i="16" s="1"/>
  <c r="D14" i="16" s="1"/>
  <c r="B14" i="16"/>
  <c r="B8" i="16"/>
  <c r="H11" i="19"/>
  <c r="E8" i="16" s="1"/>
  <c r="D8" i="16" s="1"/>
  <c r="H16" i="19"/>
  <c r="E13" i="16" s="1"/>
  <c r="D13" i="16" s="1"/>
  <c r="B13" i="16"/>
  <c r="D15" i="23"/>
  <c r="B7" i="16"/>
  <c r="H10" i="19"/>
  <c r="E7" i="16" s="1"/>
  <c r="D7" i="16" s="1"/>
  <c r="C4" i="16"/>
  <c r="H6" i="19"/>
  <c r="E3" i="16" s="1"/>
  <c r="D3" i="16" s="1"/>
  <c r="B3" i="16"/>
  <c r="L22" i="6"/>
  <c r="L31" i="7"/>
  <c r="J14" i="20"/>
  <c r="M16" i="20"/>
  <c r="J17" i="20"/>
  <c r="M17" i="20"/>
  <c r="M18" i="20"/>
  <c r="J18" i="20"/>
  <c r="N14" i="20"/>
  <c r="M15" i="20"/>
  <c r="N30" i="14"/>
  <c r="N31" i="14" s="1"/>
  <c r="P31" i="7"/>
  <c r="J31" i="3"/>
  <c r="T30" i="3" s="1"/>
  <c r="D13" i="23" l="1"/>
  <c r="D10" i="23"/>
  <c r="C17" i="16"/>
  <c r="B20" i="23"/>
  <c r="B10" i="23"/>
  <c r="C7" i="16"/>
  <c r="D20" i="23"/>
  <c r="B16" i="23"/>
  <c r="C13" i="16"/>
  <c r="D16" i="23"/>
  <c r="C8" i="23"/>
  <c r="D11" i="23"/>
  <c r="B11" i="23"/>
  <c r="C8" i="16"/>
  <c r="C14" i="16"/>
  <c r="B17" i="23"/>
  <c r="C10" i="16"/>
  <c r="B13" i="23"/>
  <c r="D17" i="23"/>
  <c r="D9" i="23"/>
  <c r="C6" i="16"/>
  <c r="B9" i="23"/>
  <c r="C19" i="23"/>
  <c r="C12" i="23"/>
  <c r="C15" i="23"/>
  <c r="C7" i="23"/>
  <c r="B6" i="23"/>
  <c r="R8" i="14"/>
  <c r="C3" i="16"/>
  <c r="T8" i="14"/>
  <c r="D6" i="23"/>
  <c r="D26" i="14"/>
  <c r="D25" i="14"/>
  <c r="D24" i="14"/>
  <c r="D20" i="14"/>
  <c r="D23" i="14"/>
  <c r="D22" i="14"/>
  <c r="D21" i="14"/>
  <c r="D31" i="14"/>
  <c r="D30" i="14"/>
  <c r="D29" i="14"/>
  <c r="D28" i="14"/>
  <c r="D27" i="14"/>
  <c r="D36" i="3"/>
  <c r="D41" i="3" s="1"/>
  <c r="N16" i="20"/>
  <c r="N15" i="20"/>
  <c r="N18" i="20"/>
  <c r="N17" i="20"/>
  <c r="J4" i="15"/>
  <c r="C13" i="23" l="1"/>
  <c r="C10" i="23"/>
  <c r="C9" i="23"/>
  <c r="C17" i="23"/>
  <c r="C11" i="23"/>
  <c r="C20" i="23"/>
  <c r="C16" i="23"/>
  <c r="AB26" i="14" a="1"/>
  <c r="AB26" i="14" s="1"/>
  <c r="I11" i="14" s="1"/>
  <c r="Z26" i="14" a="1"/>
  <c r="Z26" i="14" s="1"/>
  <c r="G11" i="14" s="1"/>
  <c r="Y26" i="14" a="1"/>
  <c r="Y26" i="14" s="1"/>
  <c r="F11" i="14" s="1"/>
  <c r="AC26" i="14" a="1"/>
  <c r="AC26" i="14" s="1"/>
  <c r="J11" i="14" s="1"/>
  <c r="X26" i="14" a="1"/>
  <c r="X26" i="14" s="1"/>
  <c r="E11" i="14" s="1"/>
  <c r="AA26" i="14" a="1"/>
  <c r="AA26" i="14" s="1"/>
  <c r="H11" i="14" s="1"/>
  <c r="I25" i="23" a="1"/>
  <c r="I25" i="23" s="1"/>
  <c r="R15" i="20" s="1"/>
  <c r="Q15" i="20" s="1"/>
  <c r="M25" i="23" a="1"/>
  <c r="M25" i="23" s="1"/>
  <c r="H25" i="23" a="1"/>
  <c r="H25" i="23" s="1"/>
  <c r="R14" i="20" s="1"/>
  <c r="Q14" i="20" s="1"/>
  <c r="K25" i="23" a="1"/>
  <c r="K25" i="23" s="1"/>
  <c r="R17" i="20" s="1"/>
  <c r="Q17" i="20" s="1"/>
  <c r="J25" i="23" a="1"/>
  <c r="J25" i="23" s="1"/>
  <c r="R16" i="20" s="1"/>
  <c r="Q16" i="20" s="1"/>
  <c r="L25" i="23" a="1"/>
  <c r="L25" i="23" s="1"/>
  <c r="R18" i="20" s="1"/>
  <c r="Q18" i="20" s="1"/>
  <c r="C6" i="23"/>
  <c r="S8" i="14"/>
  <c r="E36" i="3"/>
  <c r="R19" i="20" l="1"/>
  <c r="Q19" i="20" s="1"/>
  <c r="R22" i="20"/>
  <c r="Q22" i="20"/>
  <c r="B33" i="20" s="1"/>
  <c r="B34" i="20" s="1"/>
  <c r="T16" i="20" l="1"/>
  <c r="C41" i="20" s="1"/>
  <c r="B41" i="20" s="1"/>
  <c r="T14" i="20"/>
  <c r="T18" i="20"/>
  <c r="C43" i="20" s="1"/>
  <c r="B43" i="20" s="1"/>
  <c r="T17" i="20"/>
  <c r="C42" i="20" s="1"/>
  <c r="B42" i="20" s="1"/>
  <c r="T15" i="20"/>
  <c r="C40" i="20" s="1"/>
  <c r="B40" i="20" s="1"/>
  <c r="I16" i="6" l="1"/>
  <c r="I23" i="6" s="1"/>
  <c r="J16" i="6"/>
  <c r="J23" i="6" s="1"/>
  <c r="F16" i="6"/>
  <c r="F23" i="6" s="1"/>
  <c r="K16" i="6"/>
  <c r="K23" i="6" s="1"/>
  <c r="H16" i="6"/>
  <c r="H23" i="6" s="1"/>
  <c r="G16" i="6"/>
  <c r="G23" i="6" s="1"/>
  <c r="C39" i="20"/>
  <c r="T20" i="20"/>
  <c r="I29" i="6" l="1"/>
  <c r="I25" i="6"/>
  <c r="I26" i="6"/>
  <c r="I27" i="6"/>
  <c r="I28" i="6"/>
  <c r="J29" i="6"/>
  <c r="J25" i="6"/>
  <c r="J26" i="6"/>
  <c r="J27" i="6"/>
  <c r="J28" i="6"/>
  <c r="F25" i="6"/>
  <c r="F26" i="6"/>
  <c r="F27" i="6"/>
  <c r="F28" i="6"/>
  <c r="F29" i="6"/>
  <c r="L23" i="6"/>
  <c r="B39" i="20"/>
  <c r="B46" i="20" s="1"/>
  <c r="C46" i="20"/>
  <c r="H27" i="6"/>
  <c r="H28" i="6"/>
  <c r="H29" i="6"/>
  <c r="H25" i="6"/>
  <c r="H26" i="6"/>
  <c r="K26" i="6"/>
  <c r="K27" i="6"/>
  <c r="K29" i="6"/>
  <c r="K28" i="6"/>
  <c r="K25" i="6"/>
  <c r="G26" i="6"/>
  <c r="G28" i="6"/>
  <c r="G27" i="6"/>
  <c r="G29" i="6"/>
  <c r="G25" i="6"/>
  <c r="I32" i="6" l="1"/>
  <c r="J30" i="6"/>
  <c r="J31" i="6" s="1"/>
  <c r="J33" i="6"/>
  <c r="I30" i="6"/>
  <c r="I31" i="6" s="1"/>
  <c r="I33" i="6"/>
  <c r="J32" i="6"/>
  <c r="G30" i="6"/>
  <c r="G31" i="6" s="1"/>
  <c r="G33" i="6"/>
  <c r="F30" i="6"/>
  <c r="F33" i="6"/>
  <c r="L25" i="6"/>
  <c r="K32" i="6"/>
  <c r="L29" i="6"/>
  <c r="H32" i="6"/>
  <c r="L28" i="6"/>
  <c r="G32" i="6"/>
  <c r="H30" i="6"/>
  <c r="H31" i="6" s="1"/>
  <c r="H33" i="6"/>
  <c r="L27" i="6"/>
  <c r="L26" i="6"/>
  <c r="F32" i="6"/>
  <c r="K30" i="6"/>
  <c r="K31" i="6" s="1"/>
  <c r="K33" i="6"/>
  <c r="I34" i="6" l="1"/>
  <c r="I35" i="6" s="1"/>
  <c r="J34" i="6"/>
  <c r="K34" i="6"/>
  <c r="G34" i="6"/>
  <c r="H34" i="6"/>
  <c r="L33" i="6"/>
  <c r="L32" i="6"/>
  <c r="F34" i="6"/>
  <c r="L30" i="6"/>
  <c r="F31" i="6"/>
  <c r="L31" i="6" s="1"/>
  <c r="H32" i="14" l="1"/>
  <c r="I36" i="6"/>
  <c r="E4" i="15" s="1"/>
  <c r="E5" i="15" s="1"/>
  <c r="E6" i="15" s="1"/>
  <c r="E7" i="15" s="1"/>
  <c r="J32" i="14"/>
  <c r="K36" i="6"/>
  <c r="J36" i="6"/>
  <c r="J35" i="6" s="1"/>
  <c r="I32" i="14"/>
  <c r="G32" i="14"/>
  <c r="H36" i="6"/>
  <c r="E32" i="14"/>
  <c r="L34" i="6"/>
  <c r="F36" i="6"/>
  <c r="F35" i="6" s="1"/>
  <c r="F32" i="14"/>
  <c r="G36" i="6"/>
  <c r="C4" i="15" l="1"/>
  <c r="C5" i="15" s="1"/>
  <c r="C6" i="15" s="1"/>
  <c r="C7" i="15" s="1"/>
  <c r="G35" i="6"/>
  <c r="D4" i="15"/>
  <c r="D5" i="15" s="1"/>
  <c r="D6" i="15" s="1"/>
  <c r="D7" i="15" s="1"/>
  <c r="H35" i="6"/>
  <c r="G4" i="15"/>
  <c r="G5" i="15" s="1"/>
  <c r="G6" i="15" s="1"/>
  <c r="G7" i="15" s="1"/>
  <c r="K35" i="6"/>
  <c r="F4" i="15"/>
  <c r="F5" i="15" s="1"/>
  <c r="F6" i="15" s="1"/>
  <c r="F7" i="15" s="1"/>
  <c r="H33" i="14"/>
  <c r="M34" i="14" s="1"/>
  <c r="B4" i="15"/>
  <c r="B5" i="15" s="1"/>
  <c r="B6" i="15" s="1"/>
  <c r="B7" i="15" s="1"/>
  <c r="L36" i="6"/>
  <c r="C10" i="14" s="1"/>
  <c r="H4" i="15" l="1"/>
  <c r="H5" i="15" s="1"/>
  <c r="H6" i="15" s="1"/>
  <c r="H7" i="15" s="1"/>
  <c r="H9" i="15" s="1"/>
  <c r="C32" i="14"/>
  <c r="C31" i="14" l="1"/>
  <c r="J31" i="14" s="1"/>
  <c r="C22" i="14"/>
  <c r="E22" i="14" s="1"/>
  <c r="C21" i="14"/>
  <c r="J21" i="14" s="1"/>
  <c r="C30" i="14"/>
  <c r="J30" i="14" s="1"/>
  <c r="C23" i="14"/>
  <c r="G23" i="14" s="1"/>
  <c r="C24" i="14"/>
  <c r="I24" i="14" s="1"/>
  <c r="C25" i="14"/>
  <c r="F25" i="14" s="1"/>
  <c r="C28" i="14"/>
  <c r="F28" i="14" s="1"/>
  <c r="C26" i="14"/>
  <c r="F26" i="14" s="1"/>
  <c r="C27" i="14"/>
  <c r="H27" i="14" s="1"/>
  <c r="C29" i="14"/>
  <c r="F29" i="14" s="1"/>
  <c r="C20" i="14"/>
  <c r="G20" i="14" s="1"/>
  <c r="F31" i="14" l="1"/>
  <c r="I31" i="14"/>
  <c r="G31" i="14"/>
  <c r="E31" i="14"/>
  <c r="H31" i="14"/>
  <c r="E25" i="14"/>
  <c r="J23" i="14"/>
  <c r="E23" i="14"/>
  <c r="I23" i="14"/>
  <c r="I22" i="14"/>
  <c r="F22" i="14"/>
  <c r="H23" i="14"/>
  <c r="G22" i="14"/>
  <c r="H22" i="14"/>
  <c r="J22" i="14"/>
  <c r="G24" i="14"/>
  <c r="H24" i="14"/>
  <c r="H26" i="14"/>
  <c r="F24" i="14"/>
  <c r="E24" i="14"/>
  <c r="J26" i="14"/>
  <c r="E26" i="14"/>
  <c r="I26" i="14"/>
  <c r="I25" i="14"/>
  <c r="F23" i="14"/>
  <c r="I20" i="14"/>
  <c r="H20" i="14"/>
  <c r="F20" i="14"/>
  <c r="E20" i="14"/>
  <c r="J20" i="14"/>
  <c r="G26" i="14"/>
  <c r="J24" i="14"/>
  <c r="G29" i="14"/>
  <c r="H25" i="14"/>
  <c r="G25" i="14"/>
  <c r="J25" i="14"/>
  <c r="H21" i="14"/>
  <c r="F21" i="14"/>
  <c r="E21" i="14"/>
  <c r="I21" i="14"/>
  <c r="G21" i="14"/>
  <c r="J29" i="14"/>
  <c r="G27" i="14"/>
  <c r="F30" i="14"/>
  <c r="E28" i="14"/>
  <c r="G28" i="14"/>
  <c r="G30" i="14"/>
  <c r="J27" i="14"/>
  <c r="J28" i="14"/>
  <c r="I29" i="14"/>
  <c r="I28" i="14"/>
  <c r="E29" i="14"/>
  <c r="H29" i="14"/>
  <c r="E30" i="14"/>
  <c r="H28" i="14"/>
  <c r="H30" i="14"/>
  <c r="E27" i="14"/>
  <c r="I30" i="14"/>
  <c r="I27" i="14"/>
  <c r="F27" i="1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tc={4719DA4B-D36C-4D5E-BE86-72D06CA138ED}</author>
  </authors>
  <commentList>
    <comment ref="T30" authorId="0" shapeId="0" xr:uid="{4719DA4B-D36C-4D5E-BE86-72D06CA138ED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calculation provides an easy visual for portion of overall contract going to staffing costs.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Chestnut, Ann DBH</author>
  </authors>
  <commentList>
    <comment ref="P9" authorId="0" shapeId="0" xr:uid="{39426987-0F7C-4C01-9D0D-2A4AC914C86E}">
      <text>
        <r>
          <rPr>
            <b/>
            <sz val="9"/>
            <color indexed="81"/>
            <rFont val="Tahoma"/>
            <family val="2"/>
          </rPr>
          <t>DBH: To be verified with Program.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Hougen, Timothy DBH</author>
  </authors>
  <commentList>
    <comment ref="E12" authorId="0" shapeId="0" xr:uid="{8A6F35A8-DD54-4616-9334-3B8EC854F861}">
      <text>
        <r>
          <rPr>
            <sz val="14"/>
            <color indexed="81"/>
            <rFont val="Tahoma"/>
            <family val="2"/>
          </rPr>
          <t xml:space="preserve">This should represent the number per month, as averaged over the duration of tx (e.g., 1 Assessment per episode is "=1/F4". 
In another example, if a program plans for 10 therapy sessions, then ongoing case management, then enter "=10/F4" to calcluate the average number per month.
</t>
        </r>
      </text>
    </comment>
    <comment ref="F18" authorId="0" shapeId="0" xr:uid="{CEF3F422-12DB-446C-854E-2A4DEC2EA07E}">
      <text>
        <r>
          <rPr>
            <sz val="14"/>
            <color indexed="81"/>
            <rFont val="Tahoma"/>
            <family val="2"/>
          </rPr>
          <t>Minutes are divided by 4.5 to equal the calculation done in payment from DHCS.</t>
        </r>
      </text>
    </comment>
    <comment ref="F20" authorId="0" shapeId="0" xr:uid="{7B413B77-21D1-42E4-8DA3-1A137744924A}">
      <text>
        <r>
          <rPr>
            <sz val="14"/>
            <color indexed="81"/>
            <rFont val="Tahoma"/>
            <family val="2"/>
          </rPr>
          <t>Minutes are divided by 4.5 to equal the calculation done in payment from DHCS.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Hougen, Timothy DBH</author>
  </authors>
  <commentList>
    <comment ref="A9" authorId="0" shapeId="0" xr:uid="{71830364-E650-43A2-ACBA-C0CC967694E0}">
      <text>
        <r>
          <rPr>
            <sz val="9"/>
            <color indexed="81"/>
            <rFont val="Tahoma"/>
            <family val="2"/>
          </rPr>
          <t>The scope of this professional exceeds what is indicated; however, since almost 100% of the services provided are MSS, this is the only column with "Include."</t>
        </r>
      </text>
    </comment>
    <comment ref="A10" authorId="0" shapeId="0" xr:uid="{29040657-FFF9-4247-8477-72378C9D836E}">
      <text>
        <r>
          <rPr>
            <sz val="9"/>
            <color indexed="81"/>
            <rFont val="Tahoma"/>
            <family val="2"/>
          </rPr>
          <t>The scope of this professional exceeds what is indicated; however, since almost 100% of the services provided are MSS, this is the only column with "Include."</t>
        </r>
      </text>
    </comment>
    <comment ref="A11" authorId="0" shapeId="0" xr:uid="{4CD62F6C-D575-4881-8696-1F9B5FEE498B}">
      <text>
        <r>
          <rPr>
            <sz val="9"/>
            <color indexed="81"/>
            <rFont val="Tahoma"/>
            <family val="2"/>
          </rPr>
          <t>The scope of this professional exceeds what is indicated; however, since almost 100% of the services provided are MSS, this is the only column with "Include."</t>
        </r>
      </text>
    </comment>
    <comment ref="A12" authorId="0" shapeId="0" xr:uid="{397B9A09-52FA-44EE-8C63-3CB625594D6D}">
      <text>
        <r>
          <rPr>
            <sz val="9"/>
            <color indexed="81"/>
            <rFont val="Tahoma"/>
            <family val="2"/>
          </rPr>
          <t>The scope of this professional exceeds what is indicated; however, since almost 100% of the services provided are MSS, this is the only column with "Include."</t>
        </r>
      </text>
    </comment>
    <comment ref="A13" authorId="0" shapeId="0" xr:uid="{66C17186-A088-4E28-A258-B17AC7E39E8A}">
      <text>
        <r>
          <rPr>
            <sz val="14"/>
            <color indexed="81"/>
            <rFont val="Tahoma"/>
            <family val="2"/>
          </rPr>
          <t>A mental health rehabilitation specialist shall be an individual who has a baccalaureate degree and four years of experience in a mental health setting as a specialist in the fields of physical restoration, social adjustment, or vocational adjustment. Up to two years of graduate professional education may be substituted for the experience requirement on a year-for-year basis; up to two years of post associate arts clinical experience may be substituted for the required educational experience in addition to the requirement of four years' experience in a mental health setting.</t>
        </r>
      </text>
    </comment>
    <comment ref="A16" authorId="0" shapeId="0" xr:uid="{DEC53F94-873E-4916-96D7-691DE3BA3477}">
      <text>
        <r>
          <rPr>
            <sz val="9"/>
            <color indexed="81"/>
            <rFont val="Tahoma"/>
            <family val="2"/>
          </rPr>
          <t xml:space="preserve">The scope of this professional covers SFC 10-58; however the table is currently set to "Include" only SFC 10-50.  It would be very unusual for an OT to provide IHBS or TBS. </t>
        </r>
      </text>
    </comment>
    <comment ref="A17" authorId="0" shapeId="0" xr:uid="{71F7A92F-E732-4070-A01A-BCB937DF48A7}">
      <text>
        <r>
          <rPr>
            <sz val="14"/>
            <color indexed="81"/>
            <rFont val="Tahoma"/>
            <family val="2"/>
          </rPr>
          <t xml:space="preserve">Typically used for Case Manager who does not meet requirements for "Mental Health Rehabilitation Specialist".  For DBH, this would be a Mental Health Specialist (MHS). </t>
        </r>
      </text>
    </comment>
    <comment ref="A19" authorId="0" shapeId="0" xr:uid="{E8AEEC62-F723-4421-A210-A055C337300B}">
      <text>
        <r>
          <rPr>
            <sz val="9"/>
            <color indexed="81"/>
            <rFont val="Tahoma"/>
            <family val="2"/>
          </rPr>
          <t>The scope of this professional exceeds what is indicated; however, since almost 100% of the services provided are MSS, this is the only column with "Include."</t>
        </r>
      </text>
    </comment>
    <comment ref="A20" authorId="0" shapeId="0" xr:uid="{160B0F6C-F388-4699-8B12-9815114B8063}">
      <text>
        <r>
          <rPr>
            <sz val="9"/>
            <color indexed="81"/>
            <rFont val="Tahoma"/>
            <family val="2"/>
          </rPr>
          <t xml:space="preserve">The scope of this professional exceeds what is indicated; however, since per min rate for Psychologist would increase the weighted rate per min and most services are SFC 10-50, "Include" is only on one column. If the program design requires psychologists to provide a wider array of services, please adjust the table as needed. </t>
        </r>
      </text>
    </comment>
    <comment ref="A21" authorId="0" shapeId="0" xr:uid="{C046DF68-7B2C-40A6-8AED-ADBD7179F61A}">
      <text>
        <r>
          <rPr>
            <sz val="9"/>
            <color indexed="81"/>
            <rFont val="Tahoma"/>
            <family val="2"/>
          </rPr>
          <t>The scope of this professional exceeds what is indicated; however, since almost 100% of the services provided are MSS, this is the only column with "Include."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<sst xmlns="http://schemas.openxmlformats.org/spreadsheetml/2006/main" count="793" uniqueCount="435">
  <si>
    <t>SCHEDULE B</t>
  </si>
  <si>
    <t>ITEM</t>
  </si>
  <si>
    <r>
      <t xml:space="preserve">TOTAL COST TO
</t>
    </r>
    <r>
      <rPr>
        <b/>
        <sz val="11"/>
        <rFont val="Arial"/>
        <family val="2"/>
      </rPr>
      <t>ORGANIZATION</t>
    </r>
  </si>
  <si>
    <t>SUBTOTAL B:</t>
  </si>
  <si>
    <t>SAN BERNARDINO COUNTY</t>
  </si>
  <si>
    <t>DEPARTMENT OF BEHAVIORAL HEALTH</t>
  </si>
  <si>
    <t>Prepared by:</t>
  </si>
  <si>
    <t xml:space="preserve">Title: </t>
  </si>
  <si>
    <t>Contractor Name:</t>
  </si>
  <si>
    <t>Address:</t>
  </si>
  <si>
    <t>Date Form Completed:</t>
  </si>
  <si>
    <t>APPROVED:</t>
  </si>
  <si>
    <t>Operating Expenses - Please list all operating costs charged to this program, including administrative support costs and management fees along with a detail explanation of the categories below.</t>
  </si>
  <si>
    <t>TOTAL</t>
  </si>
  <si>
    <t>LINE</t>
  </si>
  <si>
    <t>MODE OF SERVICE</t>
  </si>
  <si>
    <t>#</t>
  </si>
  <si>
    <t>SERVICE FUNCTION</t>
  </si>
  <si>
    <t>AGENCY REVENUES</t>
  </si>
  <si>
    <t>PATIENT FEES</t>
  </si>
  <si>
    <t>PATIENT INSURANCE</t>
  </si>
  <si>
    <t>MEDI-CARE</t>
  </si>
  <si>
    <t>GRANTS/OTHER</t>
  </si>
  <si>
    <t>SAN BERNARDINO COUNTY DEPARTMENT OF BEHAVIORAL HEALTH</t>
  </si>
  <si>
    <t>Staffing Detail - Personnel  (Includes Personal Services Contracts for Professional Services)</t>
  </si>
  <si>
    <t xml:space="preserve">CONTRACTOR NAME: </t>
  </si>
  <si>
    <t>Name</t>
  </si>
  <si>
    <t>Degree/</t>
  </si>
  <si>
    <t>Position</t>
  </si>
  <si>
    <t>Full</t>
  </si>
  <si>
    <t>Total</t>
  </si>
  <si>
    <t>Total Salaries</t>
  </si>
  <si>
    <t>Budgeted</t>
  </si>
  <si>
    <t>License</t>
  </si>
  <si>
    <t>Title</t>
  </si>
  <si>
    <t>Time</t>
  </si>
  <si>
    <t>Full Time</t>
  </si>
  <si>
    <t>and Benefits</t>
  </si>
  <si>
    <t>Annual</t>
  </si>
  <si>
    <t>Fringe</t>
  </si>
  <si>
    <t>Salaries &amp;</t>
  </si>
  <si>
    <t>Contract</t>
  </si>
  <si>
    <t xml:space="preserve"> Charged to</t>
  </si>
  <si>
    <t>Services</t>
  </si>
  <si>
    <t>Contract Services</t>
  </si>
  <si>
    <t>COST:</t>
  </si>
  <si>
    <t>Distribution %</t>
  </si>
  <si>
    <t>Share %</t>
  </si>
  <si>
    <t>Mix %</t>
  </si>
  <si>
    <r>
      <t>NET COUNTY FUNDS (Local Cost)</t>
    </r>
    <r>
      <rPr>
        <b/>
        <sz val="10"/>
        <color indexed="16"/>
        <rFont val="Arial"/>
        <family val="2"/>
      </rPr>
      <t xml:space="preserve"> MUST = ZERO</t>
    </r>
  </si>
  <si>
    <t>FUNDING TOTAL</t>
  </si>
  <si>
    <t>FEDERAL FUNDING</t>
  </si>
  <si>
    <t>TOTAL FUNDING</t>
  </si>
  <si>
    <t>SCHEDULE A - Planning Estimates</t>
  </si>
  <si>
    <t>STATE FUNDING (Including Realignment)</t>
  </si>
  <si>
    <t>MEDI-CAL (FFP)</t>
  </si>
  <si>
    <t>Title:</t>
  </si>
  <si>
    <t>Justification of Cost</t>
  </si>
  <si>
    <t>Budget Narrative for Operating Expenses.  Explain each expense by line item. Provide an explanation for determination of all figures ( rate, duration, quantity, Benefits, FTE's, etc.) for example explain how overhead or indirect cost were calculated.</t>
  </si>
  <si>
    <t>GROSS COSTS TOTAL STAFFING AND OPERATING EXPENSES:</t>
  </si>
  <si>
    <t>% CHARGED TO OTHER FUNDING SOURCE</t>
  </si>
  <si>
    <t>TOTAL COST TO OTHER FUNDING SOURCE</t>
  </si>
  <si>
    <t>PERCENT CHARGED TO PROGRAM</t>
  </si>
  <si>
    <t>TOTAL COST TO PROGRAM</t>
  </si>
  <si>
    <t>Hours of</t>
  </si>
  <si>
    <t>% Cost</t>
  </si>
  <si>
    <t>Allocated</t>
  </si>
  <si>
    <t>MONTH</t>
  </si>
  <si>
    <t>Estimated Units of Service (Minutes)</t>
  </si>
  <si>
    <t xml:space="preserve">Planned Clinical FTE's 
</t>
  </si>
  <si>
    <t xml:space="preserve">        SCHEDULE B</t>
  </si>
  <si>
    <t xml:space="preserve">         SAN BERNARDINO COUNTY</t>
  </si>
  <si>
    <t xml:space="preserve">       DEPARTMENT OF BEHAVIORAL HEALTH</t>
  </si>
  <si>
    <t xml:space="preserve">        BUDGET NARRATIVE</t>
  </si>
  <si>
    <t xml:space="preserve">        DEPARTMENT OF BEHAVIORAL HEALTH</t>
  </si>
  <si>
    <t xml:space="preserve">        SAN BERNARDINO COUNTY</t>
  </si>
  <si>
    <t>PROVIDER AUTHORIZED SIGNER (PRINT NAME)</t>
  </si>
  <si>
    <t>TOTAL AGENCY REVENUES (6+7+8+9)</t>
  </si>
  <si>
    <t>CONTRACT AMOUNT (5-10)</t>
  </si>
  <si>
    <t>Total Salaries Charged to Contract Services</t>
  </si>
  <si>
    <t>Total Benefits Charged to Contract Services</t>
  </si>
  <si>
    <t>External Database Fee (.26% of Contract)</t>
  </si>
  <si>
    <t>Participation in external database is a required aspect of program to facilitate focus of treatment servicesand reporting of outcomes.</t>
  </si>
  <si>
    <t>Budget Revision</t>
  </si>
  <si>
    <t>Request Change</t>
  </si>
  <si>
    <t>Revised Budget</t>
  </si>
  <si>
    <t>Schedule B</t>
  </si>
  <si>
    <t>STAFFING DETAIL</t>
  </si>
  <si>
    <t>Clients Served</t>
  </si>
  <si>
    <t>Starting Census</t>
  </si>
  <si>
    <t>Admissions
(Episodes Opened)</t>
  </si>
  <si>
    <t>Discharges
(Episodes Closed)</t>
  </si>
  <si>
    <t>Monthly Census</t>
  </si>
  <si>
    <t>Total Revenue</t>
  </si>
  <si>
    <t>Unduplicated Clients Served</t>
  </si>
  <si>
    <t>Contract # / RFP #</t>
  </si>
  <si>
    <t>City, State, Zip Code:</t>
  </si>
  <si>
    <t>Clinical</t>
  </si>
  <si>
    <t>FTE</t>
  </si>
  <si>
    <t>Estimated Cost Per Client:</t>
  </si>
  <si>
    <t>Case Management &amp; ICC
(01-09)</t>
  </si>
  <si>
    <t>Avg Monthly Census</t>
  </si>
  <si>
    <t>Expected Length of Program (months)</t>
  </si>
  <si>
    <t>Total Minutes of Services</t>
  </si>
  <si>
    <t>Total Monthly Minutes of Services (Average)</t>
  </si>
  <si>
    <t>Dosage (minutes) per client per month</t>
  </si>
  <si>
    <t>Dosage (hours) per client per month</t>
  </si>
  <si>
    <t>Total Hours Per Unduplicated Client for Duration of the Program:</t>
  </si>
  <si>
    <t>DATE</t>
  </si>
  <si>
    <t>DBH PROGRAM MANAGER (PRINT NAME)</t>
  </si>
  <si>
    <t>PROVIDER AUTHORIZED SIGNATURE</t>
  </si>
  <si>
    <t>D</t>
  </si>
  <si>
    <t>SMHS</t>
  </si>
  <si>
    <t>Min Rate</t>
  </si>
  <si>
    <t>Provider Type</t>
  </si>
  <si>
    <t>Hourly Rate</t>
  </si>
  <si>
    <t>Est. Vacancy Rate</t>
  </si>
  <si>
    <t>of Clinical Staff</t>
  </si>
  <si>
    <t>Licensed Physician</t>
  </si>
  <si>
    <t>Certified AOD Counselor</t>
  </si>
  <si>
    <t>Community Health Worker</t>
  </si>
  <si>
    <t>Licensed Psychiatric Technician</t>
  </si>
  <si>
    <t>Licensed Vocational Nurse</t>
  </si>
  <si>
    <t>Medical Assistant</t>
  </si>
  <si>
    <t>Mental Health Rehabilitation Specialist</t>
  </si>
  <si>
    <t>Nurse Practitioner</t>
  </si>
  <si>
    <t>Occupational Therapist</t>
  </si>
  <si>
    <t>Other Qualified Practitioner</t>
  </si>
  <si>
    <t>Peer Support Specialists</t>
  </si>
  <si>
    <t>Physician Assistant</t>
  </si>
  <si>
    <t>Psychologist (Licensed or Waivered)</t>
  </si>
  <si>
    <t>Registered Nurse</t>
  </si>
  <si>
    <t>Rate Sheet</t>
  </si>
  <si>
    <t>MH</t>
  </si>
  <si>
    <t>DBH DHCS Provider Type (DBH Practitioner Category)</t>
  </si>
  <si>
    <t>DBH Discipline in myAvatar via DHCS Billing Manual</t>
  </si>
  <si>
    <t>DHCS Equivalent</t>
  </si>
  <si>
    <t>DHCS Rate</t>
  </si>
  <si>
    <t>X</t>
  </si>
  <si>
    <t>ALL</t>
  </si>
  <si>
    <t>Enter Rates for This Program</t>
  </si>
  <si>
    <t>DHCS</t>
  </si>
  <si>
    <t>Per Minute Rates</t>
  </si>
  <si>
    <t>For This Program</t>
  </si>
  <si>
    <t>Direct Staff Count</t>
  </si>
  <si>
    <t>MHS (SFC 10-50)</t>
  </si>
  <si>
    <t>Include</t>
  </si>
  <si>
    <t>CM (SFC 1-09)</t>
  </si>
  <si>
    <t>MSS (SFC 60)</t>
  </si>
  <si>
    <t>Weighted Rate</t>
  </si>
  <si>
    <t>Total Min</t>
  </si>
  <si>
    <t>MHS - Therapy</t>
  </si>
  <si>
    <t>MHS - Group</t>
  </si>
  <si>
    <t>MHS - Rehab</t>
  </si>
  <si>
    <t>Column of Services</t>
  </si>
  <si>
    <t>IHBS (SFC 57)</t>
  </si>
  <si>
    <t>TBS (SFC 58)</t>
  </si>
  <si>
    <t>Crisis Intervention (SFC 70)</t>
  </si>
  <si>
    <t>MHS - Assessment</t>
  </si>
  <si>
    <t>MHS - Plan Development</t>
  </si>
  <si>
    <t>CM -  TCM/ICC</t>
  </si>
  <si>
    <t>MSS - Assessment/Evaluation</t>
  </si>
  <si>
    <t>MSS - Ongoing Care</t>
  </si>
  <si>
    <t>MHS - IHBS</t>
  </si>
  <si>
    <t>MHS - TBS</t>
  </si>
  <si>
    <t>for Service</t>
  </si>
  <si>
    <t>Avg Face to Face Minutes</t>
  </si>
  <si>
    <t>MHS - Rehab Group</t>
  </si>
  <si>
    <t>Service Provided</t>
  </si>
  <si>
    <t>1x/Episode</t>
  </si>
  <si>
    <t>Y/N</t>
  </si>
  <si>
    <t>Yes</t>
  </si>
  <si>
    <t>No</t>
  </si>
  <si>
    <t xml:space="preserve">Freq of Service </t>
  </si>
  <si>
    <t>Per Month</t>
  </si>
  <si>
    <t>Type of program per Fee Sched. Categories</t>
  </si>
  <si>
    <t>Episode</t>
  </si>
  <si>
    <t>NOTE: Unless the program is a Crisis Program, we don't include Crisis Intervention in the planning.</t>
  </si>
  <si>
    <t>Weighted Averages</t>
  </si>
  <si>
    <t>Total Min. Per</t>
  </si>
  <si>
    <t>Client Per</t>
  </si>
  <si>
    <t>Total Hr Per</t>
  </si>
  <si>
    <t>Episode Length (Month)</t>
  </si>
  <si>
    <t>Per Episode</t>
  </si>
  <si>
    <t>Rates Pulled from "SMHS Rates for Program"</t>
  </si>
  <si>
    <t>Instructions for completing the budget schedules.</t>
  </si>
  <si>
    <t>The yellow highlighted cells are the areas to be completed by the Provider.</t>
  </si>
  <si>
    <t>Schedule A:</t>
  </si>
  <si>
    <t>Complete the portions requiring Provider Information.</t>
  </si>
  <si>
    <t>Name, Address, etc.</t>
  </si>
  <si>
    <t xml:space="preserve">Enter the distribution percentages for each service function.  </t>
  </si>
  <si>
    <t>These percentages must equal 100%.</t>
  </si>
  <si>
    <t>The percentage provided represent estimated service distributions, but may be modified by the Provider</t>
  </si>
  <si>
    <t>DBH reserves the right to modify these percentages, as appropriate.</t>
  </si>
  <si>
    <t xml:space="preserve">If applicable, complete the Agency Revenues section.  </t>
  </si>
  <si>
    <t xml:space="preserve">This is not typical for most Providers.  </t>
  </si>
  <si>
    <t>If unsure if this applies, leave blank and request further information.</t>
  </si>
  <si>
    <t>Signature cells are to remain blank.</t>
  </si>
  <si>
    <t>Input the Name of the Employee or Contractor.  If position is vacant, input Vacant or TBH.</t>
  </si>
  <si>
    <t>If multiple employees in one position, input Multiple and # of employees.</t>
  </si>
  <si>
    <t>Input the Degree/License of the Employee or Contractor. If position is vacant, leave blank.</t>
  </si>
  <si>
    <t>Input Position/Title.  If there are positions contractually required, those should be listed first.</t>
  </si>
  <si>
    <t>Note, administrative and clerical staff are normally treated as indirect cost.</t>
  </si>
  <si>
    <t>For any administrative or clerical staff that are identified as direct, please ensure the required documentation is maintained to fill CFR 200.413 (c)(1) – (3)</t>
  </si>
  <si>
    <t>Enter dollar amount in the Full Time Annual Salary column.</t>
  </si>
  <si>
    <t>This amount is based on 2,080 working hours.</t>
  </si>
  <si>
    <t>If position is Contractor, leave blank or enter $0.00.</t>
  </si>
  <si>
    <t>If multiple employees in one position, input the % Cost Allocated as described in item 7.</t>
  </si>
  <si>
    <t>Enter dollar amount in Full Time Fringe Benefits.</t>
  </si>
  <si>
    <t xml:space="preserve">Examples of Fringe Benefits: Employer FICA/Medicare, Workers Compensation, </t>
  </si>
  <si>
    <t>Unemployment, Vacation/Sick/PTO Pay, Retirement Contributions, and Health Benefits</t>
  </si>
  <si>
    <t>Enter % Cost Allocated to Contract Services.</t>
  </si>
  <si>
    <t xml:space="preserve">Enter the percentage of time the employee will be working.  If employed for a portion of time, this should be reflected in this column.  </t>
  </si>
  <si>
    <t>The “% Cost Allocated Contracted Services” column may be used to indicated more than 1.0 FTE (e.g., 4.5 FTE = 450%).</t>
  </si>
  <si>
    <t xml:space="preserve">If contractor, please enter the percentage of time for the contractor.  </t>
  </si>
  <si>
    <t>Operating/Administrative Costs:</t>
  </si>
  <si>
    <t>Input the annual expense of each item in the Total Cost to Organization column.</t>
  </si>
  <si>
    <t>Input the percentage charged to DBH program in the % Charged to Program column.</t>
  </si>
  <si>
    <t>The total Amount in the Gross Costs row should equal the annual allocation contract amount.</t>
  </si>
  <si>
    <t>Operating/Administrative Costs Narrative:</t>
  </si>
  <si>
    <t>Input the justification for each Operating Administrative Cost Item entered on the Operating/Admin Costs tab.</t>
  </si>
  <si>
    <t>Input the Starting Census of the Program as of July 1st of each year.</t>
  </si>
  <si>
    <t>This should be completed with an awareness of targeted length of episode.</t>
  </si>
  <si>
    <t xml:space="preserve">Please note that the “Productivity Level” represents the percentage of time clinical staff will need to code as a direct service to maximize the contract.   </t>
  </si>
  <si>
    <t>This calculation takes into account 80 hours of vacation, 80 hours of holiday time, 40 hours of staff out sick, and a 10% vacancy rate.</t>
  </si>
  <si>
    <t>Dosage Estimates</t>
  </si>
  <si>
    <t>This worksheet is calculated based upon program specific information, and information from throughout the workbook.</t>
  </si>
  <si>
    <t>Instructions if new fee schedules are made available</t>
  </si>
  <si>
    <t>Paste new information into this table, but DO NOT paste over the "…Per Min" columns (i.e., N, P, R, T, &amp; V)</t>
  </si>
  <si>
    <t>Sort "DHCS Dquivalent" alphabetically</t>
  </si>
  <si>
    <t>Instructions for DBH Program Staff to Complete</t>
  </si>
  <si>
    <t>Set Column D cells to equal the cells under the type of progam (e.g., MH Outpatient = Column G).</t>
  </si>
  <si>
    <t>Unduplicated Client Count For Whole Contract:</t>
  </si>
  <si>
    <t>Summary of Services for One (1) Client</t>
  </si>
  <si>
    <t>Average Type, Duration, and Frequency of SMHS for One (1) Client</t>
  </si>
  <si>
    <t>Summary of Services for Expected</t>
  </si>
  <si>
    <t>Unduplicated Clients</t>
  </si>
  <si>
    <t>Total Min Per</t>
  </si>
  <si>
    <t>Instructions complete this form</t>
  </si>
  <si>
    <t>Included Staff</t>
  </si>
  <si>
    <t>Don't Include</t>
  </si>
  <si>
    <t>NOTE: What is critical to this worksheet is:</t>
  </si>
  <si>
    <t>2. The ratio of staff in the program (e.g., 2 nurses for each psychiatrist; 4 AOD Counselors per Clinician; etc.).</t>
  </si>
  <si>
    <t xml:space="preserve">Do not include staff who will NOT provide Mode 15 services. </t>
  </si>
  <si>
    <t>Summary of Expected Costs based on</t>
  </si>
  <si>
    <t>"Staff Planning Worksheet"</t>
  </si>
  <si>
    <t>Total Expect</t>
  </si>
  <si>
    <t>Costs</t>
  </si>
  <si>
    <t>Type of Program:</t>
  </si>
  <si>
    <t>DESIGNING A PROGRAM BY INDICATING TYPICAL SERVICES FOR ONE CLIENT</t>
  </si>
  <si>
    <t>REVERSE ENGINEERING THE SAME PROGRAM BY TOTAL BUDGET</t>
  </si>
  <si>
    <t>Annual Contract Budget Amount</t>
  </si>
  <si>
    <t>Expect Costs</t>
  </si>
  <si>
    <t>Per Client</t>
  </si>
  <si>
    <t>Cost Per Client</t>
  </si>
  <si>
    <t>Total Contract</t>
  </si>
  <si>
    <t>Cost Per Client as indicated above</t>
  </si>
  <si>
    <t>Expected Unduplicated Client Count</t>
  </si>
  <si>
    <t>Rate Per Minute</t>
  </si>
  <si>
    <t>Service Delivery Staff:</t>
  </si>
  <si>
    <t>Other Staff:</t>
  </si>
  <si>
    <t>Target % for Sched. A</t>
  </si>
  <si>
    <t>Rename "MFT/LPCC (Licensed, Waivered or Registered)" to "MA/MS Clinician"</t>
  </si>
  <si>
    <t>Delete Row for "LCSW (Licensed, Waivered or Registered)" to "MA/MS Clinician"</t>
  </si>
  <si>
    <t>Mental Health Services
(10-50)</t>
  </si>
  <si>
    <t>Crisis Intervention
(70)</t>
  </si>
  <si>
    <t>1991 Realignment</t>
  </si>
  <si>
    <t>Operating Income</t>
  </si>
  <si>
    <t>Client Flexible Support</t>
  </si>
  <si>
    <t>Other Non-MediCal Support</t>
  </si>
  <si>
    <t>Intensive Home Based Services
(57)</t>
  </si>
  <si>
    <t>TBS
(58)</t>
  </si>
  <si>
    <t>Medication Support
(60-69)</t>
  </si>
  <si>
    <t>Total Administrative Costs</t>
  </si>
  <si>
    <t>Staffing</t>
  </si>
  <si>
    <t>Client Housing Support</t>
  </si>
  <si>
    <t>Net Total</t>
  </si>
  <si>
    <t>Net Admin Costs</t>
  </si>
  <si>
    <t>Client Housing Support (70)</t>
  </si>
  <si>
    <t>Client Flexible Support (72)</t>
  </si>
  <si>
    <t>Other Non-MediCal Support (78)</t>
  </si>
  <si>
    <r>
      <t xml:space="preserve">If Staff Position is </t>
    </r>
    <r>
      <rPr>
        <b/>
        <u/>
        <sz val="10"/>
        <color rgb="FFFF0000"/>
        <rFont val="CG Times"/>
      </rPr>
      <t>not</t>
    </r>
    <r>
      <rPr>
        <b/>
        <sz val="10"/>
        <rFont val="CG Times"/>
      </rPr>
      <t xml:space="preserve"> Clinical FTE Providing SMHS, change to "</t>
    </r>
    <r>
      <rPr>
        <b/>
        <u/>
        <sz val="10"/>
        <color rgb="FFFF0000"/>
        <rFont val="CG Times"/>
      </rPr>
      <t>N</t>
    </r>
    <r>
      <rPr>
        <b/>
        <sz val="10"/>
        <rFont val="CG Times"/>
      </rPr>
      <t>"</t>
    </r>
  </si>
  <si>
    <t>Y</t>
  </si>
  <si>
    <t>In the column labeled I/C, I for Indirect; C for SubContractor. NOTE: Worksheet "Other Staff" should not have any portion of a staff intended to provided Modes 05, 10, and/or 15 services.</t>
  </si>
  <si>
    <t>2011 Realignment</t>
  </si>
  <si>
    <t>MHSA/BHSA</t>
  </si>
  <si>
    <t>TARGET COST PER UNIT OF SERVICE</t>
  </si>
  <si>
    <t>UNITS OF SERVICE</t>
  </si>
  <si>
    <r>
      <t>15 (</t>
    </r>
    <r>
      <rPr>
        <b/>
        <sz val="8"/>
        <color indexed="8"/>
        <rFont val="Arial"/>
        <family val="2"/>
      </rPr>
      <t>Outpatient)</t>
    </r>
  </si>
  <si>
    <t>If portion of a position is intended to provide Modes 05,10, and/or 15 services, then split between "Service Delivery Staff" and "Other Staff" worksheets with appropriate portions on each worksheet.</t>
  </si>
  <si>
    <t>Identify each cost item with commonly utilized terms in the Item column.</t>
  </si>
  <si>
    <t>Input the number of Admissions and Discharges for each month of service.</t>
  </si>
  <si>
    <t>LCSW (Licensed, Waivered or Registered)</t>
  </si>
  <si>
    <t>MFT/LPCC (Licensed, Waivered or Registered)</t>
  </si>
  <si>
    <t>Hourly Payment Rate</t>
  </si>
  <si>
    <t>Interactive Complexity</t>
  </si>
  <si>
    <t>Interpretive Services</t>
  </si>
  <si>
    <t>Theoretical Direct Staff Count</t>
  </si>
  <si>
    <t>DHCS Rates</t>
  </si>
  <si>
    <t>CM&amp;ICC
(01-09)</t>
  </si>
  <si>
    <t>MHS
(10-50)</t>
  </si>
  <si>
    <t>IHBS
(57)</t>
  </si>
  <si>
    <t>MSS
(60-69)</t>
  </si>
  <si>
    <t>CI
(70)</t>
  </si>
  <si>
    <t>Mode 15</t>
  </si>
  <si>
    <t>Service Projections: Modes 05, 10, 15</t>
  </si>
  <si>
    <t>Salary</t>
  </si>
  <si>
    <t>Benefits</t>
  </si>
  <si>
    <t>Other Staff</t>
  </si>
  <si>
    <t xml:space="preserve">I </t>
  </si>
  <si>
    <t>C</t>
  </si>
  <si>
    <t>CalAim/Fee for Service</t>
  </si>
  <si>
    <t>Direct or Contract
 D/C</t>
  </si>
  <si>
    <t>Indirect or Contract
 I/C</t>
  </si>
  <si>
    <t>Complete required sections</t>
  </si>
  <si>
    <t>Program Name</t>
  </si>
  <si>
    <t>Verify with Budgets the correct funding sources, mix and share percentages</t>
  </si>
  <si>
    <t>Funding Section</t>
  </si>
  <si>
    <t>Verify formulas are correct for each funding source and totals.</t>
  </si>
  <si>
    <t>Expenses Section</t>
  </si>
  <si>
    <t>Verify totals are correct and match corresponding tabs.</t>
  </si>
  <si>
    <t>The total should match the Gross Costs Total Staffing and Operating Expenses on Operating Costs tab.</t>
  </si>
  <si>
    <t xml:space="preserve">Signature cells are to remain blank - do not type in any names as the person responsible for signing may change.  This will be completed during the signing process. </t>
  </si>
  <si>
    <t>Instructions for reviewing and revising the budget schedules.</t>
  </si>
  <si>
    <t>Modes and Service Functions</t>
  </si>
  <si>
    <t>Verify with Program which modes and services functions are required.</t>
  </si>
  <si>
    <t>If notes are needed to identify certain service functions require a minimum percentage, verify the percentage with Program.</t>
  </si>
  <si>
    <t>All Tabs:</t>
  </si>
  <si>
    <t xml:space="preserve">Verify all formulas are correct.  </t>
  </si>
  <si>
    <t>Category 1</t>
  </si>
  <si>
    <t>Instructions for Program staff to complete budget schedules.</t>
  </si>
  <si>
    <t>Service Planning Worksheet:</t>
  </si>
  <si>
    <t>Staffing Planning Worksheet</t>
  </si>
  <si>
    <t xml:space="preserve">Verify all cells are locked that should be and sheet is protected.  </t>
  </si>
  <si>
    <t>Upon Provider Submission</t>
  </si>
  <si>
    <t>Verify formulas are correct for each mode and service function, including totals.</t>
  </si>
  <si>
    <t>Verify totals are correct and match the Contract Amount.  Do not use the Total Expenses amount as this will depend if any Agency Revenues were captured.</t>
  </si>
  <si>
    <t>Prior to distribution to Providers:</t>
  </si>
  <si>
    <t>If the timeframe is less than the full fiscal year, adjust formulas in Budgeted Hours of Contract Services and Total Charged to Contract Services columns.</t>
  </si>
  <si>
    <t>The Position Title is a drop down list.  Provider must choose from one of the positions on the list.</t>
  </si>
  <si>
    <t>Position Title is a drop down list.  Leaving blank is not acceptable.</t>
  </si>
  <si>
    <t>Type of Program</t>
  </si>
  <si>
    <t>Category 2</t>
  </si>
  <si>
    <t>The column labeled D/C is to indicate Direct or Contractor.</t>
  </si>
  <si>
    <t>Service Delivery Staff</t>
  </si>
  <si>
    <t>Staff Position Column should be Y or N.  Leaving blank is not acceptable.</t>
  </si>
  <si>
    <t xml:space="preserve">Direct or Contract is a drop down list.  Leaving blank is not acceptable. </t>
  </si>
  <si>
    <t>Name should be completed or "Vacant" should be input.  TBH, TBD, or leaving blank is not acceptable.</t>
  </si>
  <si>
    <t xml:space="preserve">Degree/License should be input. Leaving blank is not acceptable. </t>
  </si>
  <si>
    <t xml:space="preserve">Verify provider has completed all sections.  </t>
  </si>
  <si>
    <t>Salary and Benefits are dollar amounts. Anything other than a dollar amount will be rejected.</t>
  </si>
  <si>
    <t xml:space="preserve">The % Cost Allocated Contract should adhere to the instructions on the Instructions tab.  </t>
  </si>
  <si>
    <t>Degree/License should be input. This can be left blank on this tab as some positions do not require a degree.</t>
  </si>
  <si>
    <t xml:space="preserve">Indirect or Contract is a drop down list.  Leaving blank is not acceptable. </t>
  </si>
  <si>
    <t>Verify all formulas are correct, including contractor section.</t>
  </si>
  <si>
    <t>These rows are to be locked and hidden when sending to providers.</t>
  </si>
  <si>
    <t xml:space="preserve">Hide rows not required to specific programs, External Database to Operating Income, and calculations at the bottom. </t>
  </si>
  <si>
    <t>Verify Totals are correct.  The Gross Costs Total should equal the Subtotal B and Staffing Totals.</t>
  </si>
  <si>
    <t>Contractor section</t>
  </si>
  <si>
    <t>Provider Type section.</t>
  </si>
  <si>
    <t>Planned Clinical FTE's section</t>
  </si>
  <si>
    <t>Projected Revenue Generated by Service Type section</t>
  </si>
  <si>
    <t xml:space="preserve">Estimated Units of Service section.  </t>
  </si>
  <si>
    <t>Census section</t>
  </si>
  <si>
    <t>Fiscal Year and timeframe for the budget schedules.</t>
  </si>
  <si>
    <t>If the timeframe is less than the full fiscal year, adjust formulas in Estimated Units of Service and Planned Clinical FTE's columns.</t>
  </si>
  <si>
    <t>Verify with Program if this tab is required and the weighted rates for Modes 05 and 10.  The weighted rates for Mode 15 are formula driven.</t>
  </si>
  <si>
    <t>Verify all required cells have been completed and calculated properly.</t>
  </si>
  <si>
    <t>Verify Expected Length of Program (months) with Program.  If left blank, the worksheet will not calculate properly.</t>
  </si>
  <si>
    <t>This worksheet is completely formula driven.  Verify all formulas are correct.</t>
  </si>
  <si>
    <t xml:space="preserve">Verify the formulas calculated properly.  </t>
  </si>
  <si>
    <t>The remaining tabs are to be completed by Program.  PSAS should verify with Program all updates have been completed.</t>
  </si>
  <si>
    <t>Position Type</t>
  </si>
  <si>
    <t>Verify Rates are up-to-date.  Update if necessary</t>
  </si>
  <si>
    <t>Verify rates match the rates on the Rates Utilized by DBH Per Min tab.</t>
  </si>
  <si>
    <t>Hide all tabs not relevant to the Provider.</t>
  </si>
  <si>
    <t>PSAS Staff Instruction</t>
  </si>
  <si>
    <t>Rates Utilized by DBH Per Min</t>
  </si>
  <si>
    <t>SMHS Rates for Program</t>
  </si>
  <si>
    <t>Service Planning Worksheet</t>
  </si>
  <si>
    <t>List of Values</t>
  </si>
  <si>
    <t xml:space="preserve">If position is split between Direct and Indirect, please list on both the Service Delivery Staff and Other Staff tabs. </t>
  </si>
  <si>
    <t>Direct Staff to be input on Service Delivery Staff tab and Indirect Staff to be input on Other Staff tab, with the appropriate portions on each worksheet.</t>
  </si>
  <si>
    <t>Program Instructions</t>
  </si>
  <si>
    <t>Any other tabs not relevant to a particular program. For example, Dosage Estimates.</t>
  </si>
  <si>
    <t>These instructions are for all budget schedules and may not apply to all Programs.</t>
  </si>
  <si>
    <t>Verify the Distribution Percentages exactly equal 100%.  Notify Provider of the error and request revisions before sending to Program.</t>
  </si>
  <si>
    <t>Review all tabs for accuracy of information, formulas, locked cells, protection, and all relevant information.</t>
  </si>
  <si>
    <t>Input the Name of the Employee or Contractor.  If position is vacant, input Vacant.</t>
  </si>
  <si>
    <t>SMHS Rates</t>
  </si>
  <si>
    <t>SMHS per Minute</t>
  </si>
  <si>
    <t>Category 1 Rates are calculated at 70% of the DHCS Rate</t>
  </si>
  <si>
    <t>Category 2 Rates are calculated at 75% of the DHCS Rate</t>
  </si>
  <si>
    <t>Rates</t>
  </si>
  <si>
    <t xml:space="preserve">Hide all rows and columns that are for internal use and information only.  </t>
  </si>
  <si>
    <t xml:space="preserve">This will include all program specific provider type tables, and estimated vacancy rate cells. </t>
  </si>
  <si>
    <t>Service Delivery Staff Worksheet should ONLY include staff who will be providing direct services, so all should be listed with a "D" or "C"</t>
  </si>
  <si>
    <t>1. Construct a hypothetical program with ratios of direct staff that will bill Medi-Cal for SMHS</t>
  </si>
  <si>
    <t xml:space="preserve">2. Enter the FTE for each classification included in the theoretical program in Column F. </t>
  </si>
  <si>
    <t xml:space="preserve">3. Columns H, I, J, &amp; K are set for which classifications will likely provide the type of service.  </t>
  </si>
  <si>
    <t xml:space="preserve">Many classifications may provide services for which "Don't Include" is set.  This is being done to create a more accurate estimate of costs (e.g., Registered Nurses are set to "Don't Include" for all services except MSS, as that is the primary service provided by this staff. </t>
  </si>
  <si>
    <t>If you have 0.00 FTE for a classificationin Column F, then that classification's rate will not be included in the weighted average.</t>
  </si>
  <si>
    <t>1. Identification of which classifications are included in the program via FTE in Column F</t>
  </si>
  <si>
    <t xml:space="preserve">3. Identifying which staff type will provide which type of aggregated SMHS (e.g., SFC 10-50). NOTE - This only needs to be adjusted in unusual circumstances. </t>
  </si>
  <si>
    <t>Crisis Intervention will have a percentage of funding allocated on Schedule A.  For planning, enter this percentage in cell T19.</t>
  </si>
  <si>
    <t xml:space="preserve">However, the costs are better reported on the Service Deliver worksheet, please do so. </t>
  </si>
  <si>
    <t xml:space="preserve">If you have included the costs related to the contacted staff under Operating Costs, do not include costs on Service Delivery Staff worksheet.  </t>
  </si>
  <si>
    <t xml:space="preserve">Select Position/Title.  If there are positions contractually required, those should be listed first. </t>
  </si>
  <si>
    <t>CI (SFC 70)</t>
  </si>
  <si>
    <t>Total %</t>
  </si>
  <si>
    <t>Verify all formulas are correct to include:</t>
  </si>
  <si>
    <t>Starting census should be completed, even if zero (0)</t>
  </si>
  <si>
    <t>RU #</t>
  </si>
  <si>
    <t>Allocation Amount</t>
  </si>
  <si>
    <t>Total DBH Allocation (Funding) Amount</t>
  </si>
  <si>
    <t>MHSA Match</t>
  </si>
  <si>
    <t>DBH PSAS</t>
  </si>
  <si>
    <t>DBH PROGRAM MANAGER</t>
  </si>
  <si>
    <t xml:space="preserve">For Contracted staff that are direct service providers, please indicate the type of staff and FTE.  </t>
  </si>
  <si>
    <t xml:space="preserve">Please be careful to distinguish between "Mental Health Rehabilitation Specialist" and "Other Qualified Practitioner." </t>
  </si>
  <si>
    <t>Children's Residential (ChRIS)</t>
  </si>
  <si>
    <t>Adjust any cells, rows,and columns for formatting issues.</t>
  </si>
  <si>
    <t>Verify the dates are correct in the "Month" section.  Change the year for July, the other months will update automatically.</t>
  </si>
  <si>
    <t>Special Items</t>
  </si>
  <si>
    <t xml:space="preserve">Look for formulas in the Provider sections that are linked to the Provider's internal files. </t>
  </si>
  <si>
    <t xml:space="preserve">Copy and Paste as Value in the same cell to keep the information and break the link.  </t>
  </si>
  <si>
    <t>% Time</t>
  </si>
  <si>
    <t>to Program</t>
  </si>
  <si>
    <t>For the ChRIS program, please input "Head of Service" in this area, as well as degree/license.</t>
  </si>
  <si>
    <t>FUNDING*</t>
  </si>
  <si>
    <t>* Subject to CFS Match funding per MOU.</t>
  </si>
  <si>
    <t>DBH PSAS (PRINT NAME)</t>
  </si>
  <si>
    <t xml:space="preserve">Enter the amount being requested in the Total DHB Allocation (Funding) Amount cell highlighted in yellow. </t>
  </si>
  <si>
    <t>to</t>
  </si>
  <si>
    <t>FY 2027-2028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</si>
</sst>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$-409]#,##0_);[Red]\([$$-409]#,##0\)"/>
    <numFmt numFmtId="166" formatCode="[$$-409]#,##0"/>
    <numFmt numFmtId="167" formatCode="&quot;$&quot;#,##0.00"/>
    <numFmt numFmtId="168" formatCode="&quot;$&quot;#,##0"/>
    <numFmt numFmtId="169" formatCode="_([$$-409]* #,##0.00_);_([$$-409]* \(#,##0.00\);_([$$-409]* &quot;-&quot;??_);_(@_)"/>
    <numFmt numFmtId="170" formatCode="mm/dd/yy;@"/>
    <numFmt numFmtId="171" formatCode="[$-409]mmmm\ d\,\ yyyy;@"/>
  </numFmts>
  <fonts count="6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7"/>
      <name val="Arial"/>
      <family val="2"/>
    </font>
    <font>
      <sz val="8"/>
      <color indexed="8"/>
      <name val="Arial"/>
      <family val="2"/>
    </font>
    <font>
      <sz val="10"/>
      <name val="CG Times"/>
      <family val="1"/>
    </font>
    <font>
      <b/>
      <sz val="11"/>
      <name val="CG Times"/>
      <family val="1"/>
    </font>
    <font>
      <b/>
      <sz val="10"/>
      <name val="CG Times"/>
      <family val="1"/>
    </font>
    <font>
      <b/>
      <sz val="10"/>
      <name val="CG Times"/>
    </font>
    <font>
      <b/>
      <sz val="12"/>
      <name val="CG Times"/>
      <family val="1"/>
    </font>
    <font>
      <sz val="11"/>
      <color indexed="12"/>
      <name val="Arial"/>
      <family val="2"/>
    </font>
    <font>
      <u/>
      <sz val="10"/>
      <name val="CG Times"/>
      <family val="1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0"/>
      <color indexed="16"/>
      <name val="Arial"/>
      <family val="2"/>
    </font>
    <font>
      <sz val="7"/>
      <color indexed="8"/>
      <name val="Arial"/>
      <family val="2"/>
    </font>
    <font>
      <b/>
      <sz val="7"/>
      <color indexed="16"/>
      <name val="Arial"/>
      <family val="2"/>
    </font>
    <font>
      <b/>
      <i/>
      <sz val="10"/>
      <color indexed="8"/>
      <name val="Arial"/>
      <family val="2"/>
    </font>
    <font>
      <b/>
      <sz val="8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6"/>
      <color theme="5" tint="-0.249977111117893"/>
      <name val="Wingdings 3"/>
      <family val="1"/>
      <charset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z val="10"/>
      <color theme="0"/>
      <name val="Arial"/>
      <family val="2"/>
    </font>
    <font>
      <b/>
      <sz val="16"/>
      <color rgb="FFFF0000"/>
      <name val="Arial"/>
      <family val="2"/>
    </font>
    <font>
      <sz val="18"/>
      <color rgb="FFFF0000"/>
      <name val="Arial"/>
      <family val="2"/>
    </font>
    <font>
      <b/>
      <sz val="7"/>
      <color rgb="FFFF0000"/>
      <name val="Arial"/>
      <family val="2"/>
    </font>
    <font>
      <i/>
      <sz val="10"/>
      <name val="CG Times"/>
    </font>
    <font>
      <b/>
      <sz val="12"/>
      <color indexed="16"/>
      <name val="Arial"/>
      <family val="2"/>
    </font>
    <font>
      <b/>
      <sz val="10"/>
      <color rgb="FFFF0000"/>
      <name val="CG Times"/>
    </font>
    <font>
      <sz val="11"/>
      <color theme="1"/>
      <name val="Calibri"/>
      <family val="2"/>
    </font>
    <font>
      <sz val="10"/>
      <color theme="1"/>
      <name val="Segoe UI"/>
      <family val="2"/>
    </font>
    <font>
      <sz val="10"/>
      <name val="Segoe UI"/>
      <family val="2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sz val="12"/>
      <name val="Aptos"/>
      <family val="2"/>
    </font>
    <font>
      <sz val="14"/>
      <color indexed="81"/>
      <name val="Tahoma"/>
      <family val="2"/>
    </font>
    <font>
      <b/>
      <sz val="11"/>
      <color theme="1"/>
      <name val="Calibri"/>
      <family val="2"/>
    </font>
    <font>
      <b/>
      <u/>
      <sz val="10"/>
      <color rgb="FFFF0000"/>
      <name val="CG Times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Arial"/>
      <family val="2"/>
    </font>
    <font>
      <sz val="12"/>
      <color indexed="8"/>
      <name val="Arial"/>
      <family val="2"/>
    </font>
    <font>
      <sz val="11"/>
      <name val="Calibri"/>
      <family val="2"/>
      <scheme val="minor"/>
    </font>
    <font>
      <sz val="12"/>
      <color rgb="FF7030A0"/>
      <name val="Arial"/>
      <family val="2"/>
    </font>
    <font>
      <b/>
      <sz val="12"/>
      <color rgb="FF7030A0"/>
      <name val="Arial"/>
      <family val="2"/>
    </font>
    <font>
      <b/>
      <sz val="12"/>
      <color rgb="FFC0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20376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lightUp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Up">
        <bgColor rgb="FF777777"/>
      </patternFill>
    </fill>
    <fill>
      <patternFill patternType="solid">
        <fgColor indexed="65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/>
    <xf numFmtId="0" fontId="2" fillId="0" borderId="0"/>
    <xf numFmtId="0" fontId="9" fillId="0" borderId="0"/>
    <xf numFmtId="0" fontId="8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6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0" fillId="0" borderId="1" xfId="0" applyBorder="1" applyAlignment="1">
      <alignment vertical="top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1" fillId="0" borderId="0" xfId="0" quotePrefix="1" applyFont="1" applyAlignment="1">
      <alignment horizontal="left"/>
    </xf>
    <xf numFmtId="0" fontId="11" fillId="0" borderId="1" xfId="0" applyFont="1" applyBorder="1"/>
    <xf numFmtId="3" fontId="11" fillId="0" borderId="0" xfId="0" applyNumberFormat="1" applyFont="1" applyAlignment="1">
      <alignment horizontal="right"/>
    </xf>
    <xf numFmtId="3" fontId="11" fillId="0" borderId="0" xfId="0" applyNumberFormat="1" applyFont="1"/>
    <xf numFmtId="0" fontId="12" fillId="0" borderId="0" xfId="0" applyFont="1"/>
    <xf numFmtId="0" fontId="11" fillId="0" borderId="0" xfId="0" applyFont="1"/>
    <xf numFmtId="3" fontId="11" fillId="0" borderId="0" xfId="0" applyNumberFormat="1" applyFont="1" applyAlignment="1">
      <alignment horizontal="left"/>
    </xf>
    <xf numFmtId="3" fontId="11" fillId="0" borderId="1" xfId="0" quotePrefix="1" applyNumberFormat="1" applyFont="1" applyBorder="1" applyAlignment="1">
      <alignment horizontal="left"/>
    </xf>
    <xf numFmtId="3" fontId="11" fillId="0" borderId="1" xfId="0" applyNumberFormat="1" applyFont="1" applyBorder="1" applyAlignment="1">
      <alignment horizontal="left"/>
    </xf>
    <xf numFmtId="3" fontId="11" fillId="0" borderId="1" xfId="0" applyNumberFormat="1" applyFont="1" applyBorder="1"/>
    <xf numFmtId="37" fontId="11" fillId="2" borderId="3" xfId="0" applyNumberFormat="1" applyFont="1" applyFill="1" applyBorder="1" applyAlignment="1">
      <alignment horizontal="left"/>
    </xf>
    <xf numFmtId="0" fontId="11" fillId="0" borderId="0" xfId="0" applyFont="1" applyAlignment="1">
      <alignment horizontal="center"/>
    </xf>
    <xf numFmtId="9" fontId="11" fillId="0" borderId="0" xfId="8" applyNumberFormat="1" applyFont="1" applyProtection="1"/>
    <xf numFmtId="37" fontId="11" fillId="3" borderId="5" xfId="0" applyNumberFormat="1" applyFont="1" applyFill="1" applyBorder="1" applyAlignment="1">
      <alignment horizontal="center"/>
    </xf>
    <xf numFmtId="37" fontId="11" fillId="3" borderId="6" xfId="0" applyNumberFormat="1" applyFont="1" applyFill="1" applyBorder="1" applyAlignment="1">
      <alignment horizontal="left"/>
    </xf>
    <xf numFmtId="3" fontId="11" fillId="3" borderId="6" xfId="0" applyNumberFormat="1" applyFont="1" applyFill="1" applyBorder="1" applyAlignment="1">
      <alignment horizontal="right"/>
    </xf>
    <xf numFmtId="37" fontId="11" fillId="0" borderId="8" xfId="0" applyNumberFormat="1" applyFont="1" applyBorder="1" applyAlignment="1">
      <alignment horizontal="center"/>
    </xf>
    <xf numFmtId="37" fontId="11" fillId="0" borderId="3" xfId="0" applyNumberFormat="1" applyFont="1" applyBorder="1" applyAlignment="1">
      <alignment horizontal="left"/>
    </xf>
    <xf numFmtId="38" fontId="11" fillId="0" borderId="10" xfId="0" applyNumberFormat="1" applyFont="1" applyBorder="1"/>
    <xf numFmtId="38" fontId="11" fillId="0" borderId="3" xfId="0" applyNumberFormat="1" applyFont="1" applyBorder="1"/>
    <xf numFmtId="40" fontId="11" fillId="3" borderId="6" xfId="0" applyNumberFormat="1" applyFont="1" applyFill="1" applyBorder="1" applyAlignment="1">
      <alignment horizontal="right"/>
    </xf>
    <xf numFmtId="40" fontId="11" fillId="3" borderId="7" xfId="0" applyNumberFormat="1" applyFont="1" applyFill="1" applyBorder="1"/>
    <xf numFmtId="38" fontId="11" fillId="6" borderId="3" xfId="0" applyNumberFormat="1" applyFont="1" applyFill="1" applyBorder="1" applyAlignment="1">
      <alignment horizontal="right"/>
    </xf>
    <xf numFmtId="38" fontId="11" fillId="6" borderId="10" xfId="0" applyNumberFormat="1" applyFont="1" applyFill="1" applyBorder="1"/>
    <xf numFmtId="37" fontId="27" fillId="3" borderId="6" xfId="0" applyNumberFormat="1" applyFont="1" applyFill="1" applyBorder="1" applyAlignment="1">
      <alignment horizontal="center"/>
    </xf>
    <xf numFmtId="10" fontId="15" fillId="0" borderId="4" xfId="0" applyNumberFormat="1" applyFont="1" applyBorder="1" applyAlignment="1">
      <alignment horizontal="center"/>
    </xf>
    <xf numFmtId="38" fontId="11" fillId="0" borderId="3" xfId="0" applyNumberFormat="1" applyFont="1" applyBorder="1" applyAlignment="1">
      <alignment horizontal="right"/>
    </xf>
    <xf numFmtId="38" fontId="11" fillId="4" borderId="3" xfId="0" applyNumberFormat="1" applyFont="1" applyFill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vertical="top"/>
    </xf>
    <xf numFmtId="0" fontId="17" fillId="0" borderId="0" xfId="6" applyFont="1"/>
    <xf numFmtId="43" fontId="17" fillId="0" borderId="0" xfId="6" applyNumberFormat="1" applyFont="1"/>
    <xf numFmtId="38" fontId="17" fillId="0" borderId="0" xfId="6" applyNumberFormat="1" applyFont="1"/>
    <xf numFmtId="0" fontId="23" fillId="0" borderId="0" xfId="6" applyFont="1" applyAlignment="1">
      <alignment horizontal="left"/>
    </xf>
    <xf numFmtId="0" fontId="11" fillId="0" borderId="0" xfId="0" quotePrefix="1" applyFont="1" applyAlignment="1">
      <alignment horizontal="right"/>
    </xf>
    <xf numFmtId="0" fontId="11" fillId="0" borderId="0" xfId="0" quotePrefix="1" applyFont="1" applyAlignment="1">
      <alignment horizontal="center"/>
    </xf>
    <xf numFmtId="0" fontId="0" fillId="0" borderId="17" xfId="0" applyBorder="1" applyAlignment="1">
      <alignment vertical="top"/>
    </xf>
    <xf numFmtId="38" fontId="11" fillId="7" borderId="3" xfId="0" applyNumberFormat="1" applyFont="1" applyFill="1" applyBorder="1" applyAlignment="1">
      <alignment horizontal="right"/>
    </xf>
    <xf numFmtId="38" fontId="11" fillId="7" borderId="10" xfId="0" applyNumberFormat="1" applyFont="1" applyFill="1" applyBorder="1"/>
    <xf numFmtId="49" fontId="25" fillId="7" borderId="9" xfId="0" applyNumberFormat="1" applyFont="1" applyFill="1" applyBorder="1" applyAlignment="1">
      <alignment horizontal="left" vertical="center"/>
    </xf>
    <xf numFmtId="0" fontId="7" fillId="7" borderId="6" xfId="0" applyFont="1" applyFill="1" applyBorder="1"/>
    <xf numFmtId="38" fontId="16" fillId="7" borderId="18" xfId="0" applyNumberFormat="1" applyFont="1" applyFill="1" applyBorder="1" applyAlignment="1">
      <alignment horizontal="right"/>
    </xf>
    <xf numFmtId="37" fontId="11" fillId="0" borderId="21" xfId="0" applyNumberFormat="1" applyFont="1" applyBorder="1" applyAlignment="1">
      <alignment horizontal="center"/>
    </xf>
    <xf numFmtId="37" fontId="11" fillId="0" borderId="22" xfId="0" applyNumberFormat="1" applyFont="1" applyBorder="1" applyAlignment="1">
      <alignment horizontal="left"/>
    </xf>
    <xf numFmtId="0" fontId="11" fillId="0" borderId="23" xfId="0" applyFont="1" applyBorder="1"/>
    <xf numFmtId="38" fontId="11" fillId="0" borderId="24" xfId="0" applyNumberFormat="1" applyFont="1" applyBorder="1" applyAlignment="1">
      <alignment horizontal="right"/>
    </xf>
    <xf numFmtId="0" fontId="7" fillId="0" borderId="0" xfId="0" applyFont="1" applyAlignment="1">
      <alignment vertical="center"/>
    </xf>
    <xf numFmtId="49" fontId="10" fillId="0" borderId="26" xfId="0" applyNumberFormat="1" applyFont="1" applyBorder="1" applyAlignment="1">
      <alignment vertical="center"/>
    </xf>
    <xf numFmtId="0" fontId="38" fillId="0" borderId="27" xfId="0" applyFont="1" applyBorder="1"/>
    <xf numFmtId="9" fontId="10" fillId="0" borderId="28" xfId="8" applyNumberFormat="1" applyFont="1" applyFill="1" applyBorder="1" applyAlignment="1" applyProtection="1">
      <alignment horizontal="center"/>
    </xf>
    <xf numFmtId="9" fontId="10" fillId="0" borderId="29" xfId="8" applyNumberFormat="1" applyFont="1" applyFill="1" applyBorder="1" applyAlignment="1" applyProtection="1">
      <alignment horizontal="left"/>
    </xf>
    <xf numFmtId="49" fontId="10" fillId="0" borderId="31" xfId="0" applyNumberFormat="1" applyFont="1" applyBorder="1" applyAlignment="1">
      <alignment horizontal="center"/>
    </xf>
    <xf numFmtId="49" fontId="10" fillId="0" borderId="18" xfId="0" applyNumberFormat="1" applyFont="1" applyBorder="1" applyAlignment="1">
      <alignment horizontal="left"/>
    </xf>
    <xf numFmtId="49" fontId="30" fillId="0" borderId="18" xfId="0" applyNumberFormat="1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/>
    </xf>
    <xf numFmtId="37" fontId="11" fillId="0" borderId="3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vertical="center"/>
    </xf>
    <xf numFmtId="37" fontId="11" fillId="0" borderId="32" xfId="0" applyNumberFormat="1" applyFont="1" applyBorder="1" applyAlignment="1">
      <alignment horizontal="center"/>
    </xf>
    <xf numFmtId="37" fontId="2" fillId="0" borderId="35" xfId="0" quotePrefix="1" applyNumberFormat="1" applyFont="1" applyBorder="1" applyAlignment="1">
      <alignment horizontal="left"/>
    </xf>
    <xf numFmtId="37" fontId="11" fillId="0" borderId="52" xfId="0" applyNumberFormat="1" applyFont="1" applyBorder="1" applyAlignment="1">
      <alignment horizontal="center"/>
    </xf>
    <xf numFmtId="0" fontId="11" fillId="0" borderId="20" xfId="0" applyFont="1" applyBorder="1"/>
    <xf numFmtId="37" fontId="11" fillId="0" borderId="12" xfId="0" applyNumberFormat="1" applyFont="1" applyBorder="1" applyAlignment="1">
      <alignment horizontal="left"/>
    </xf>
    <xf numFmtId="37" fontId="11" fillId="0" borderId="20" xfId="0" applyNumberFormat="1" applyFont="1" applyBorder="1" applyAlignment="1">
      <alignment horizontal="left"/>
    </xf>
    <xf numFmtId="10" fontId="28" fillId="9" borderId="4" xfId="0" applyNumberFormat="1" applyFont="1" applyFill="1" applyBorder="1" applyAlignment="1" applyProtection="1">
      <alignment horizontal="center"/>
      <protection locked="0"/>
    </xf>
    <xf numFmtId="40" fontId="11" fillId="9" borderId="3" xfId="0" applyNumberFormat="1" applyFont="1" applyFill="1" applyBorder="1" applyAlignment="1" applyProtection="1">
      <alignment horizontal="right"/>
      <protection locked="0"/>
    </xf>
    <xf numFmtId="38" fontId="31" fillId="9" borderId="14" xfId="6" applyNumberFormat="1" applyFont="1" applyFill="1" applyBorder="1" applyAlignment="1" applyProtection="1">
      <alignment vertical="center"/>
      <protection locked="0"/>
    </xf>
    <xf numFmtId="9" fontId="31" fillId="9" borderId="14" xfId="6" applyNumberFormat="1" applyFont="1" applyFill="1" applyBorder="1" applyAlignment="1" applyProtection="1">
      <alignment horizontal="center" vertical="center"/>
      <protection locked="0"/>
    </xf>
    <xf numFmtId="38" fontId="37" fillId="0" borderId="33" xfId="0" applyNumberFormat="1" applyFont="1" applyBorder="1" applyAlignment="1">
      <alignment horizontal="center" vertical="center"/>
    </xf>
    <xf numFmtId="38" fontId="11" fillId="0" borderId="54" xfId="0" applyNumberFormat="1" applyFont="1" applyBorder="1"/>
    <xf numFmtId="38" fontId="11" fillId="7" borderId="53" xfId="0" applyNumberFormat="1" applyFont="1" applyFill="1" applyBorder="1"/>
    <xf numFmtId="9" fontId="42" fillId="0" borderId="25" xfId="0" applyNumberFormat="1" applyFont="1" applyBorder="1" applyAlignment="1">
      <alignment horizontal="center"/>
    </xf>
    <xf numFmtId="41" fontId="17" fillId="0" borderId="0" xfId="6" applyNumberFormat="1" applyFont="1"/>
    <xf numFmtId="9" fontId="17" fillId="0" borderId="0" xfId="6" applyNumberFormat="1" applyFont="1"/>
    <xf numFmtId="43" fontId="11" fillId="0" borderId="0" xfId="0" applyNumberFormat="1" applyFont="1"/>
    <xf numFmtId="41" fontId="0" fillId="0" borderId="0" xfId="0" applyNumberFormat="1" applyAlignment="1">
      <alignment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vertical="center" wrapText="1"/>
    </xf>
    <xf numFmtId="0" fontId="5" fillId="0" borderId="38" xfId="0" applyFont="1" applyBorder="1" applyAlignment="1" applyProtection="1">
      <alignment horizontal="center" vertical="center" wrapText="1"/>
      <protection locked="0"/>
    </xf>
    <xf numFmtId="0" fontId="5" fillId="9" borderId="39" xfId="0" applyFont="1" applyFill="1" applyBorder="1" applyAlignment="1" applyProtection="1">
      <alignment horizontal="left" vertical="center" wrapText="1"/>
      <protection locked="0"/>
    </xf>
    <xf numFmtId="0" fontId="5" fillId="0" borderId="38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17" xfId="0" applyFont="1" applyBorder="1"/>
    <xf numFmtId="0" fontId="43" fillId="9" borderId="14" xfId="6" applyFont="1" applyFill="1" applyBorder="1" applyAlignment="1" applyProtection="1">
      <alignment horizontal="left"/>
      <protection locked="0"/>
    </xf>
    <xf numFmtId="0" fontId="17" fillId="9" borderId="14" xfId="6" applyFont="1" applyFill="1" applyBorder="1" applyAlignment="1" applyProtection="1">
      <alignment horizontal="left"/>
      <protection locked="0"/>
    </xf>
    <xf numFmtId="0" fontId="17" fillId="9" borderId="14" xfId="6" applyFont="1" applyFill="1" applyBorder="1" applyAlignment="1" applyProtection="1">
      <alignment horizontal="left" wrapText="1"/>
      <protection locked="0"/>
    </xf>
    <xf numFmtId="0" fontId="43" fillId="9" borderId="14" xfId="6" applyFont="1" applyFill="1" applyBorder="1" applyAlignment="1" applyProtection="1">
      <alignment horizontal="left" wrapText="1"/>
      <protection locked="0"/>
    </xf>
    <xf numFmtId="3" fontId="11" fillId="0" borderId="1" xfId="0" quotePrefix="1" applyNumberFormat="1" applyFont="1" applyBorder="1"/>
    <xf numFmtId="0" fontId="12" fillId="0" borderId="0" xfId="0" quotePrefix="1" applyFont="1"/>
    <xf numFmtId="3" fontId="12" fillId="0" borderId="0" xfId="0" applyNumberFormat="1" applyFont="1"/>
    <xf numFmtId="0" fontId="18" fillId="0" borderId="0" xfId="6" applyFont="1" applyAlignment="1">
      <alignment horizontal="center"/>
    </xf>
    <xf numFmtId="0" fontId="18" fillId="0" borderId="0" xfId="6" quotePrefix="1" applyFont="1" applyAlignment="1">
      <alignment horizontal="center"/>
    </xf>
    <xf numFmtId="0" fontId="7" fillId="0" borderId="0" xfId="7" applyFont="1" applyAlignment="1">
      <alignment horizontal="left"/>
    </xf>
    <xf numFmtId="0" fontId="17" fillId="0" borderId="0" xfId="6" applyFont="1" applyAlignment="1">
      <alignment horizontal="center"/>
    </xf>
    <xf numFmtId="0" fontId="2" fillId="0" borderId="0" xfId="7" applyFont="1" applyAlignment="1">
      <alignment horizontal="left"/>
    </xf>
    <xf numFmtId="3" fontId="19" fillId="0" borderId="0" xfId="7" quotePrefix="1" applyNumberFormat="1" applyFont="1" applyAlignment="1">
      <alignment horizontal="center"/>
    </xf>
    <xf numFmtId="3" fontId="20" fillId="0" borderId="0" xfId="6" applyNumberFormat="1" applyFont="1" applyAlignment="1">
      <alignment horizontal="center"/>
    </xf>
    <xf numFmtId="0" fontId="19" fillId="0" borderId="0" xfId="6" quotePrefix="1" applyFont="1" applyAlignment="1">
      <alignment horizontal="left"/>
    </xf>
    <xf numFmtId="0" fontId="19" fillId="0" borderId="0" xfId="6" applyFont="1"/>
    <xf numFmtId="0" fontId="20" fillId="0" borderId="0" xfId="6" applyFont="1" applyAlignment="1">
      <alignment horizontal="left" vertical="center"/>
    </xf>
    <xf numFmtId="0" fontId="17" fillId="0" borderId="0" xfId="6" applyFont="1" applyAlignment="1">
      <alignment horizontal="center" wrapText="1"/>
    </xf>
    <xf numFmtId="43" fontId="17" fillId="0" borderId="1" xfId="6" applyNumberFormat="1" applyFont="1" applyBorder="1" applyAlignment="1">
      <alignment horizontal="left"/>
    </xf>
    <xf numFmtId="0" fontId="20" fillId="0" borderId="12" xfId="6" applyFont="1" applyBorder="1" applyAlignment="1">
      <alignment horizontal="center"/>
    </xf>
    <xf numFmtId="0" fontId="20" fillId="0" borderId="13" xfId="6" applyFont="1" applyBorder="1" applyAlignment="1">
      <alignment horizontal="center"/>
    </xf>
    <xf numFmtId="0" fontId="45" fillId="0" borderId="13" xfId="6" applyFont="1" applyBorder="1" applyAlignment="1">
      <alignment horizontal="center"/>
    </xf>
    <xf numFmtId="38" fontId="31" fillId="0" borderId="14" xfId="6" applyNumberFormat="1" applyFont="1" applyBorder="1" applyAlignment="1">
      <alignment vertical="center"/>
    </xf>
    <xf numFmtId="164" fontId="22" fillId="0" borderId="14" xfId="6" applyNumberFormat="1" applyFont="1" applyBorder="1" applyAlignment="1">
      <alignment vertical="center"/>
    </xf>
    <xf numFmtId="38" fontId="24" fillId="5" borderId="14" xfId="6" applyNumberFormat="1" applyFont="1" applyFill="1" applyBorder="1" applyAlignment="1">
      <alignment vertical="center"/>
    </xf>
    <xf numFmtId="164" fontId="17" fillId="0" borderId="0" xfId="6" applyNumberFormat="1" applyFont="1"/>
    <xf numFmtId="164" fontId="17" fillId="5" borderId="0" xfId="6" applyNumberFormat="1" applyFont="1" applyFill="1"/>
    <xf numFmtId="40" fontId="17" fillId="0" borderId="0" xfId="6" applyNumberFormat="1" applyFont="1"/>
    <xf numFmtId="0" fontId="20" fillId="0" borderId="15" xfId="6" applyFont="1" applyBorder="1"/>
    <xf numFmtId="38" fontId="17" fillId="0" borderId="16" xfId="6" applyNumberFormat="1" applyFont="1" applyBorder="1"/>
    <xf numFmtId="0" fontId="7" fillId="0" borderId="0" xfId="0" applyFont="1" applyAlignment="1">
      <alignment horizontal="left"/>
    </xf>
    <xf numFmtId="0" fontId="20" fillId="0" borderId="11" xfId="6" applyFont="1" applyBorder="1"/>
    <xf numFmtId="38" fontId="17" fillId="0" borderId="2" xfId="6" applyNumberFormat="1" applyFont="1" applyBorder="1"/>
    <xf numFmtId="0" fontId="20" fillId="0" borderId="0" xfId="6" applyFont="1"/>
    <xf numFmtId="0" fontId="5" fillId="9" borderId="39" xfId="0" applyFont="1" applyFill="1" applyBorder="1" applyAlignment="1" applyProtection="1">
      <alignment vertical="center" wrapText="1"/>
      <protection locked="0"/>
    </xf>
    <xf numFmtId="9" fontId="5" fillId="8" borderId="14" xfId="0" applyNumberFormat="1" applyFont="1" applyFill="1" applyBorder="1" applyAlignment="1">
      <alignment horizontal="right" vertical="center"/>
    </xf>
    <xf numFmtId="9" fontId="5" fillId="0" borderId="14" xfId="0" applyNumberFormat="1" applyFont="1" applyBorder="1" applyAlignment="1">
      <alignment horizontal="right" vertical="top"/>
    </xf>
    <xf numFmtId="0" fontId="11" fillId="0" borderId="0" xfId="0" applyFont="1" applyAlignment="1">
      <alignment horizontal="centerContinuous"/>
    </xf>
    <xf numFmtId="0" fontId="11" fillId="0" borderId="0" xfId="0" applyFont="1" applyAlignment="1">
      <alignment horizontal="right"/>
    </xf>
    <xf numFmtId="3" fontId="37" fillId="0" borderId="0" xfId="0" applyNumberFormat="1" applyFont="1"/>
    <xf numFmtId="0" fontId="37" fillId="0" borderId="23" xfId="0" applyFont="1" applyBorder="1" applyAlignment="1">
      <alignment wrapText="1"/>
    </xf>
    <xf numFmtId="3" fontId="39" fillId="0" borderId="23" xfId="0" applyNumberFormat="1" applyFont="1" applyBorder="1" applyAlignment="1">
      <alignment horizontal="right"/>
    </xf>
    <xf numFmtId="3" fontId="37" fillId="0" borderId="58" xfId="11" applyNumberFormat="1" applyFont="1" applyBorder="1" applyAlignment="1">
      <alignment vertical="center"/>
    </xf>
    <xf numFmtId="3" fontId="37" fillId="0" borderId="0" xfId="11" applyNumberFormat="1" applyFont="1" applyAlignment="1">
      <alignment vertical="center"/>
    </xf>
    <xf numFmtId="3" fontId="10" fillId="0" borderId="0" xfId="0" applyNumberFormat="1" applyFont="1"/>
    <xf numFmtId="0" fontId="0" fillId="0" borderId="0" xfId="0" applyAlignment="1">
      <alignment horizontal="center" vertical="center"/>
    </xf>
    <xf numFmtId="3" fontId="0" fillId="0" borderId="0" xfId="0" applyNumberFormat="1"/>
    <xf numFmtId="0" fontId="0" fillId="0" borderId="0" xfId="0" applyAlignment="1">
      <alignment vertical="top" wrapText="1"/>
    </xf>
    <xf numFmtId="0" fontId="37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36" fillId="0" borderId="0" xfId="0" applyFont="1" applyAlignment="1">
      <alignment vertical="center"/>
    </xf>
    <xf numFmtId="0" fontId="2" fillId="9" borderId="14" xfId="0" applyFont="1" applyFill="1" applyBorder="1" applyAlignment="1" applyProtection="1">
      <alignment horizontal="center" vertical="center"/>
      <protection locked="0"/>
    </xf>
    <xf numFmtId="17" fontId="9" fillId="6" borderId="14" xfId="0" applyNumberFormat="1" applyFont="1" applyFill="1" applyBorder="1" applyAlignment="1">
      <alignment horizontal="left" vertical="center"/>
    </xf>
    <xf numFmtId="3" fontId="9" fillId="0" borderId="14" xfId="0" applyNumberFormat="1" applyFont="1" applyBorder="1" applyAlignment="1">
      <alignment horizontal="right" vertical="center"/>
    </xf>
    <xf numFmtId="4" fontId="9" fillId="0" borderId="14" xfId="0" applyNumberFormat="1" applyFont="1" applyBorder="1" applyAlignment="1">
      <alignment horizontal="center" vertical="center"/>
    </xf>
    <xf numFmtId="37" fontId="9" fillId="9" borderId="14" xfId="12" applyNumberFormat="1" applyFont="1" applyFill="1" applyBorder="1" applyAlignment="1" applyProtection="1">
      <alignment horizontal="center" vertical="center" shrinkToFit="1"/>
      <protection locked="0"/>
    </xf>
    <xf numFmtId="3" fontId="9" fillId="0" borderId="14" xfId="0" applyNumberFormat="1" applyFont="1" applyBorder="1" applyAlignment="1">
      <alignment horizontal="center" vertical="center"/>
    </xf>
    <xf numFmtId="17" fontId="9" fillId="6" borderId="12" xfId="0" applyNumberFormat="1" applyFont="1" applyFill="1" applyBorder="1" applyAlignment="1">
      <alignment horizontal="left" vertical="center"/>
    </xf>
    <xf numFmtId="3" fontId="9" fillId="0" borderId="12" xfId="0" applyNumberFormat="1" applyFont="1" applyBorder="1" applyAlignment="1">
      <alignment horizontal="center" vertical="center"/>
    </xf>
    <xf numFmtId="0" fontId="9" fillId="6" borderId="55" xfId="0" applyFont="1" applyFill="1" applyBorder="1" applyAlignment="1">
      <alignment horizontal="center" vertical="center"/>
    </xf>
    <xf numFmtId="3" fontId="9" fillId="0" borderId="19" xfId="0" applyNumberFormat="1" applyFont="1" applyBorder="1" applyAlignment="1">
      <alignment horizontal="right" vertical="center"/>
    </xf>
    <xf numFmtId="3" fontId="9" fillId="0" borderId="55" xfId="0" applyNumberFormat="1" applyFont="1" applyBorder="1" applyAlignment="1">
      <alignment vertical="center"/>
    </xf>
    <xf numFmtId="37" fontId="9" fillId="0" borderId="56" xfId="12" applyNumberFormat="1" applyFont="1" applyFill="1" applyBorder="1" applyAlignment="1" applyProtection="1">
      <alignment horizontal="center" vertical="center" wrapText="1" shrinkToFit="1"/>
    </xf>
    <xf numFmtId="0" fontId="0" fillId="0" borderId="17" xfId="0" applyBorder="1"/>
    <xf numFmtId="0" fontId="35" fillId="0" borderId="0" xfId="0" applyFont="1" applyAlignment="1">
      <alignment horizontal="right"/>
    </xf>
    <xf numFmtId="4" fontId="44" fillId="0" borderId="37" xfId="12" applyNumberFormat="1" applyFont="1" applyBorder="1" applyAlignment="1" applyProtection="1">
      <alignment horizontal="right" shrinkToFit="1"/>
    </xf>
    <xf numFmtId="4" fontId="26" fillId="0" borderId="0" xfId="12" applyNumberFormat="1" applyFont="1" applyBorder="1" applyAlignment="1" applyProtection="1">
      <alignment horizontal="left" shrinkToFit="1"/>
    </xf>
    <xf numFmtId="168" fontId="44" fillId="0" borderId="14" xfId="12" applyNumberFormat="1" applyFont="1" applyBorder="1" applyAlignment="1" applyProtection="1">
      <alignment horizontal="right" wrapText="1"/>
    </xf>
    <xf numFmtId="4" fontId="26" fillId="0" borderId="17" xfId="12" applyNumberFormat="1" applyFont="1" applyBorder="1" applyAlignment="1" applyProtection="1">
      <alignment horizontal="right" wrapText="1"/>
    </xf>
    <xf numFmtId="0" fontId="35" fillId="0" borderId="0" xfId="0" applyFont="1" applyAlignment="1">
      <alignment horizontal="right" vertical="top"/>
    </xf>
    <xf numFmtId="4" fontId="26" fillId="0" borderId="0" xfId="12" applyNumberFormat="1" applyFont="1" applyBorder="1" applyAlignment="1" applyProtection="1">
      <alignment horizontal="left" vertical="center" shrinkToFit="1"/>
    </xf>
    <xf numFmtId="5" fontId="9" fillId="0" borderId="0" xfId="12" applyNumberFormat="1" applyFont="1" applyFill="1" applyBorder="1" applyAlignment="1" applyProtection="1">
      <alignment horizontal="right" vertical="top" shrinkToFit="1"/>
    </xf>
    <xf numFmtId="4" fontId="26" fillId="0" borderId="0" xfId="12" applyNumberFormat="1" applyFont="1" applyBorder="1" applyAlignment="1" applyProtection="1">
      <alignment horizontal="right" vertical="top" wrapText="1"/>
    </xf>
    <xf numFmtId="4" fontId="26" fillId="0" borderId="0" xfId="12" applyNumberFormat="1" applyFont="1" applyBorder="1" applyAlignment="1" applyProtection="1">
      <alignment vertical="center" wrapText="1"/>
    </xf>
    <xf numFmtId="4" fontId="26" fillId="0" borderId="0" xfId="12" applyNumberFormat="1" applyFont="1" applyAlignment="1" applyProtection="1">
      <alignment vertical="center" wrapText="1"/>
    </xf>
    <xf numFmtId="3" fontId="7" fillId="0" borderId="0" xfId="0" applyNumberFormat="1" applyFont="1" applyAlignment="1">
      <alignment vertical="center"/>
    </xf>
    <xf numFmtId="3" fontId="9" fillId="0" borderId="60" xfId="0" applyNumberFormat="1" applyFont="1" applyBorder="1" applyAlignment="1">
      <alignment horizontal="right" vertical="center"/>
    </xf>
    <xf numFmtId="3" fontId="14" fillId="0" borderId="0" xfId="8" applyNumberFormat="1" applyFont="1" applyFill="1" applyBorder="1" applyAlignment="1" applyProtection="1">
      <alignment horizontal="center" vertical="center"/>
    </xf>
    <xf numFmtId="0" fontId="2" fillId="0" borderId="61" xfId="0" applyFont="1" applyBorder="1"/>
    <xf numFmtId="3" fontId="14" fillId="0" borderId="62" xfId="8" applyNumberFormat="1" applyFont="1" applyFill="1" applyBorder="1" applyAlignment="1" applyProtection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right"/>
    </xf>
    <xf numFmtId="2" fontId="7" fillId="0" borderId="0" xfId="0" applyNumberFormat="1" applyFont="1"/>
    <xf numFmtId="0" fontId="11" fillId="0" borderId="2" xfId="0" applyFont="1" applyBorder="1"/>
    <xf numFmtId="4" fontId="26" fillId="0" borderId="17" xfId="12" applyNumberFormat="1" applyFont="1" applyBorder="1" applyAlignment="1" applyProtection="1">
      <alignment vertical="center" shrinkToFit="1"/>
    </xf>
    <xf numFmtId="4" fontId="26" fillId="0" borderId="0" xfId="12" applyNumberFormat="1" applyFont="1" applyBorder="1" applyAlignment="1" applyProtection="1">
      <alignment vertical="center" shrinkToFit="1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44" fontId="0" fillId="0" borderId="0" xfId="0" applyNumberFormat="1"/>
    <xf numFmtId="167" fontId="37" fillId="0" borderId="0" xfId="11" applyNumberFormat="1" applyFont="1" applyAlignment="1">
      <alignment vertical="center"/>
    </xf>
    <xf numFmtId="9" fontId="0" fillId="11" borderId="0" xfId="0" applyNumberFormat="1" applyFill="1" applyAlignment="1">
      <alignment vertical="center" wrapText="1"/>
    </xf>
    <xf numFmtId="8" fontId="0" fillId="0" borderId="0" xfId="0" applyNumberFormat="1" applyAlignment="1">
      <alignment vertical="center"/>
    </xf>
    <xf numFmtId="167" fontId="2" fillId="0" borderId="0" xfId="10" applyNumberFormat="1" applyFill="1" applyAlignment="1" applyProtection="1">
      <alignment vertical="center"/>
    </xf>
    <xf numFmtId="167" fontId="2" fillId="0" borderId="0" xfId="10" applyNumberFormat="1" applyFill="1" applyBorder="1" applyAlignment="1" applyProtection="1">
      <alignment vertical="center"/>
    </xf>
    <xf numFmtId="0" fontId="2" fillId="0" borderId="0" xfId="0" applyFont="1" applyAlignment="1">
      <alignment vertical="top" wrapText="1"/>
    </xf>
    <xf numFmtId="10" fontId="2" fillId="0" borderId="0" xfId="0" applyNumberFormat="1" applyFont="1" applyAlignment="1">
      <alignment vertical="center"/>
    </xf>
    <xf numFmtId="49" fontId="30" fillId="0" borderId="12" xfId="0" applyNumberFormat="1" applyFont="1" applyBorder="1" applyAlignment="1">
      <alignment horizontal="center" vertical="center" wrapText="1"/>
    </xf>
    <xf numFmtId="38" fontId="0" fillId="0" borderId="0" xfId="0" applyNumberFormat="1"/>
    <xf numFmtId="3" fontId="0" fillId="0" borderId="19" xfId="0" applyNumberFormat="1" applyBorder="1" applyAlignment="1">
      <alignment horizontal="center"/>
    </xf>
    <xf numFmtId="1" fontId="0" fillId="0" borderId="0" xfId="0" applyNumberFormat="1"/>
    <xf numFmtId="0" fontId="2" fillId="0" borderId="0" xfId="0" applyFont="1" applyAlignment="1">
      <alignment horizontal="center"/>
    </xf>
    <xf numFmtId="44" fontId="2" fillId="0" borderId="0" xfId="0" applyNumberFormat="1" applyFont="1"/>
    <xf numFmtId="0" fontId="2" fillId="0" borderId="0" xfId="0" applyFont="1" applyAlignment="1">
      <alignment horizontal="left"/>
    </xf>
    <xf numFmtId="0" fontId="47" fillId="0" borderId="0" xfId="0" applyFont="1" applyAlignment="1" applyProtection="1">
      <alignment horizontal="left" vertical="center"/>
      <protection locked="0"/>
    </xf>
    <xf numFmtId="0" fontId="17" fillId="9" borderId="69" xfId="6" applyFont="1" applyFill="1" applyBorder="1" applyAlignment="1" applyProtection="1">
      <alignment horizontal="left"/>
      <protection locked="0"/>
    </xf>
    <xf numFmtId="38" fontId="31" fillId="9" borderId="69" xfId="6" applyNumberFormat="1" applyFont="1" applyFill="1" applyBorder="1" applyAlignment="1" applyProtection="1">
      <alignment vertical="center"/>
      <protection locked="0"/>
    </xf>
    <xf numFmtId="38" fontId="31" fillId="0" borderId="69" xfId="6" applyNumberFormat="1" applyFont="1" applyBorder="1" applyAlignment="1">
      <alignment vertical="center"/>
    </xf>
    <xf numFmtId="9" fontId="31" fillId="9" borderId="69" xfId="6" applyNumberFormat="1" applyFont="1" applyFill="1" applyBorder="1" applyAlignment="1" applyProtection="1">
      <alignment horizontal="center" vertical="center"/>
      <protection locked="0"/>
    </xf>
    <xf numFmtId="164" fontId="22" fillId="0" borderId="69" xfId="6" applyNumberFormat="1" applyFont="1" applyBorder="1" applyAlignment="1">
      <alignment vertical="center"/>
    </xf>
    <xf numFmtId="38" fontId="24" fillId="5" borderId="69" xfId="6" applyNumberFormat="1" applyFont="1" applyFill="1" applyBorder="1" applyAlignment="1">
      <alignment vertical="center"/>
    </xf>
    <xf numFmtId="0" fontId="17" fillId="9" borderId="70" xfId="6" applyFont="1" applyFill="1" applyBorder="1" applyAlignment="1" applyProtection="1">
      <alignment horizontal="left"/>
      <protection locked="0"/>
    </xf>
    <xf numFmtId="38" fontId="5" fillId="9" borderId="70" xfId="6" applyNumberFormat="1" applyFont="1" applyFill="1" applyBorder="1" applyAlignment="1" applyProtection="1">
      <alignment vertical="center"/>
      <protection locked="0"/>
    </xf>
    <xf numFmtId="38" fontId="31" fillId="9" borderId="70" xfId="6" applyNumberFormat="1" applyFont="1" applyFill="1" applyBorder="1" applyAlignment="1" applyProtection="1">
      <alignment vertical="center"/>
      <protection locked="0"/>
    </xf>
    <xf numFmtId="38" fontId="31" fillId="0" borderId="70" xfId="6" applyNumberFormat="1" applyFont="1" applyBorder="1" applyAlignment="1">
      <alignment vertical="center"/>
    </xf>
    <xf numFmtId="9" fontId="31" fillId="9" borderId="70" xfId="6" applyNumberFormat="1" applyFont="1" applyFill="1" applyBorder="1" applyAlignment="1" applyProtection="1">
      <alignment horizontal="center" vertical="center"/>
      <protection locked="0"/>
    </xf>
    <xf numFmtId="164" fontId="22" fillId="0" borderId="70" xfId="6" applyNumberFormat="1" applyFont="1" applyBorder="1" applyAlignment="1">
      <alignment vertical="center"/>
    </xf>
    <xf numFmtId="38" fontId="24" fillId="5" borderId="70" xfId="6" applyNumberFormat="1" applyFont="1" applyFill="1" applyBorder="1" applyAlignment="1">
      <alignment vertical="center"/>
    </xf>
    <xf numFmtId="0" fontId="46" fillId="0" borderId="0" xfId="13" applyFont="1"/>
    <xf numFmtId="0" fontId="49" fillId="12" borderId="70" xfId="13" applyFont="1" applyFill="1" applyBorder="1" applyAlignment="1">
      <alignment horizontal="centerContinuous"/>
    </xf>
    <xf numFmtId="0" fontId="50" fillId="13" borderId="70" xfId="13" applyFont="1" applyFill="1" applyBorder="1" applyAlignment="1">
      <alignment horizontal="center" wrapText="1"/>
    </xf>
    <xf numFmtId="0" fontId="46" fillId="0" borderId="70" xfId="13" applyFont="1" applyBorder="1"/>
    <xf numFmtId="169" fontId="46" fillId="0" borderId="66" xfId="13" applyNumberFormat="1" applyFont="1" applyBorder="1"/>
    <xf numFmtId="169" fontId="46" fillId="0" borderId="70" xfId="14" applyNumberFormat="1" applyFont="1" applyFill="1" applyBorder="1"/>
    <xf numFmtId="44" fontId="50" fillId="13" borderId="70" xfId="13" applyNumberFormat="1" applyFont="1" applyFill="1" applyBorder="1" applyAlignment="1">
      <alignment horizontal="center" wrapText="1"/>
    </xf>
    <xf numFmtId="44" fontId="2" fillId="14" borderId="0" xfId="0" applyNumberFormat="1" applyFont="1" applyFill="1"/>
    <xf numFmtId="0" fontId="2" fillId="14" borderId="0" xfId="0" applyFont="1" applyFill="1" applyAlignment="1">
      <alignment horizontal="center" wrapText="1"/>
    </xf>
    <xf numFmtId="0" fontId="0" fillId="0" borderId="0" xfId="0" applyAlignment="1">
      <alignment horizontal="left"/>
    </xf>
    <xf numFmtId="44" fontId="0" fillId="0" borderId="0" xfId="0" applyNumberFormat="1" applyAlignment="1">
      <alignment vertical="center" wrapText="1"/>
    </xf>
    <xf numFmtId="0" fontId="43" fillId="9" borderId="70" xfId="6" applyFont="1" applyFill="1" applyBorder="1" applyAlignment="1" applyProtection="1">
      <alignment horizontal="left" wrapText="1"/>
      <protection locked="0"/>
    </xf>
    <xf numFmtId="4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top" wrapText="1"/>
    </xf>
    <xf numFmtId="44" fontId="51" fillId="0" borderId="0" xfId="0" applyNumberFormat="1" applyFont="1" applyAlignment="1">
      <alignment vertical="center"/>
    </xf>
    <xf numFmtId="167" fontId="2" fillId="0" borderId="35" xfId="10" applyNumberFormat="1" applyFill="1" applyBorder="1" applyAlignment="1" applyProtection="1">
      <alignment horizontal="right"/>
    </xf>
    <xf numFmtId="2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9" fontId="10" fillId="3" borderId="6" xfId="0" quotePrefix="1" applyNumberFormat="1" applyFont="1" applyFill="1" applyBorder="1" applyAlignment="1">
      <alignment horizontal="left" vertical="center"/>
    </xf>
    <xf numFmtId="3" fontId="37" fillId="3" borderId="6" xfId="0" applyNumberFormat="1" applyFont="1" applyFill="1" applyBorder="1" applyAlignment="1">
      <alignment horizontal="center"/>
    </xf>
    <xf numFmtId="0" fontId="0" fillId="14" borderId="0" xfId="0" applyFill="1"/>
    <xf numFmtId="0" fontId="0" fillId="14" borderId="0" xfId="0" applyFill="1" applyAlignment="1">
      <alignment horizontal="center"/>
    </xf>
    <xf numFmtId="44" fontId="0" fillId="0" borderId="0" xfId="0" applyNumberFormat="1" applyAlignment="1">
      <alignment vertical="top" wrapText="1"/>
    </xf>
    <xf numFmtId="44" fontId="2" fillId="0" borderId="0" xfId="0" applyNumberFormat="1" applyFont="1" applyAlignment="1">
      <alignment horizontal="center" vertical="top" wrapText="1"/>
    </xf>
    <xf numFmtId="44" fontId="2" fillId="0" borderId="0" xfId="0" applyNumberFormat="1" applyFont="1" applyAlignment="1">
      <alignment vertical="top" wrapText="1"/>
    </xf>
    <xf numFmtId="44" fontId="0" fillId="0" borderId="0" xfId="0" applyNumberFormat="1" applyAlignment="1">
      <alignment vertical="center"/>
    </xf>
    <xf numFmtId="44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53" fillId="0" borderId="0" xfId="13" applyFont="1"/>
    <xf numFmtId="0" fontId="46" fillId="0" borderId="0" xfId="13" applyFont="1" applyAlignment="1">
      <alignment horizontal="center"/>
    </xf>
    <xf numFmtId="0" fontId="0" fillId="0" borderId="71" xfId="0" applyBorder="1"/>
    <xf numFmtId="0" fontId="0" fillId="0" borderId="71" xfId="0" applyBorder="1" applyAlignment="1">
      <alignment horizontal="center"/>
    </xf>
    <xf numFmtId="2" fontId="0" fillId="0" borderId="71" xfId="0" applyNumberFormat="1" applyBorder="1" applyAlignment="1">
      <alignment horizontal="center"/>
    </xf>
    <xf numFmtId="3" fontId="0" fillId="0" borderId="71" xfId="0" applyNumberFormat="1" applyBorder="1" applyAlignment="1">
      <alignment horizontal="center"/>
    </xf>
    <xf numFmtId="0" fontId="2" fillId="0" borderId="71" xfId="0" applyFont="1" applyBorder="1" applyAlignment="1">
      <alignment horizontal="center"/>
    </xf>
    <xf numFmtId="0" fontId="0" fillId="0" borderId="72" xfId="0" applyBorder="1"/>
    <xf numFmtId="0" fontId="2" fillId="0" borderId="73" xfId="0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167" fontId="0" fillId="0" borderId="0" xfId="0" applyNumberFormat="1"/>
    <xf numFmtId="4" fontId="0" fillId="0" borderId="0" xfId="0" applyNumberFormat="1"/>
    <xf numFmtId="4" fontId="0" fillId="0" borderId="73" xfId="0" applyNumberFormat="1" applyBorder="1"/>
    <xf numFmtId="6" fontId="0" fillId="0" borderId="0" xfId="0" applyNumberFormat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75" xfId="0" applyBorder="1" applyAlignment="1">
      <alignment horizontal="center"/>
    </xf>
    <xf numFmtId="0" fontId="0" fillId="0" borderId="76" xfId="0" applyBorder="1"/>
    <xf numFmtId="0" fontId="7" fillId="0" borderId="7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7" fillId="0" borderId="72" xfId="0" applyFont="1" applyBorder="1"/>
    <xf numFmtId="2" fontId="2" fillId="14" borderId="0" xfId="0" applyNumberFormat="1" applyFont="1" applyFill="1" applyAlignment="1">
      <alignment horizontal="right" vertical="center"/>
    </xf>
    <xf numFmtId="0" fontId="7" fillId="0" borderId="0" xfId="0" applyFont="1" applyAlignment="1">
      <alignment vertical="center" wrapText="1"/>
    </xf>
    <xf numFmtId="42" fontId="0" fillId="0" borderId="73" xfId="0" applyNumberFormat="1" applyBorder="1"/>
    <xf numFmtId="0" fontId="0" fillId="15" borderId="0" xfId="0" applyFill="1"/>
    <xf numFmtId="0" fontId="7" fillId="15" borderId="0" xfId="0" applyFont="1" applyFill="1"/>
    <xf numFmtId="42" fontId="0" fillId="0" borderId="0" xfId="0" applyNumberFormat="1"/>
    <xf numFmtId="42" fontId="2" fillId="0" borderId="0" xfId="0" applyNumberFormat="1" applyFont="1"/>
    <xf numFmtId="42" fontId="2" fillId="0" borderId="73" xfId="0" applyNumberFormat="1" applyFont="1" applyBorder="1"/>
    <xf numFmtId="42" fontId="0" fillId="14" borderId="0" xfId="0" applyNumberFormat="1" applyFill="1"/>
    <xf numFmtId="0" fontId="32" fillId="14" borderId="0" xfId="0" applyFont="1" applyFill="1" applyAlignment="1">
      <alignment horizontal="center" vertical="center"/>
    </xf>
    <xf numFmtId="167" fontId="2" fillId="14" borderId="0" xfId="10" applyNumberFormat="1" applyFill="1" applyBorder="1" applyAlignment="1" applyProtection="1">
      <alignment horizontal="center" vertical="center"/>
    </xf>
    <xf numFmtId="0" fontId="0" fillId="3" borderId="6" xfId="0" applyFill="1" applyBorder="1"/>
    <xf numFmtId="3" fontId="11" fillId="3" borderId="7" xfId="0" applyNumberFormat="1" applyFont="1" applyFill="1" applyBorder="1"/>
    <xf numFmtId="4" fontId="0" fillId="14" borderId="19" xfId="0" applyNumberFormat="1" applyFill="1" applyBorder="1" applyAlignment="1">
      <alignment horizontal="center"/>
    </xf>
    <xf numFmtId="10" fontId="0" fillId="0" borderId="0" xfId="0" applyNumberFormat="1"/>
    <xf numFmtId="0" fontId="2" fillId="0" borderId="72" xfId="0" applyFont="1" applyBorder="1"/>
    <xf numFmtId="0" fontId="46" fillId="0" borderId="70" xfId="0" applyFont="1" applyBorder="1"/>
    <xf numFmtId="169" fontId="46" fillId="0" borderId="66" xfId="0" applyNumberFormat="1" applyFont="1" applyBorder="1"/>
    <xf numFmtId="0" fontId="11" fillId="0" borderId="79" xfId="0" applyFont="1" applyBorder="1"/>
    <xf numFmtId="9" fontId="5" fillId="0" borderId="14" xfId="0" applyNumberFormat="1" applyFont="1" applyBorder="1" applyAlignment="1">
      <alignment horizontal="right" vertical="center"/>
    </xf>
    <xf numFmtId="3" fontId="0" fillId="0" borderId="0" xfId="0" applyNumberFormat="1" applyAlignment="1">
      <alignment vertical="center"/>
    </xf>
    <xf numFmtId="10" fontId="8" fillId="0" borderId="80" xfId="8" applyNumberFormat="1" applyBorder="1"/>
    <xf numFmtId="0" fontId="17" fillId="9" borderId="81" xfId="6" applyFont="1" applyFill="1" applyBorder="1" applyAlignment="1" applyProtection="1">
      <alignment horizontal="center"/>
      <protection locked="0"/>
    </xf>
    <xf numFmtId="0" fontId="9" fillId="0" borderId="0" xfId="0" applyFont="1" applyAlignment="1">
      <alignment vertical="center" wrapText="1"/>
    </xf>
    <xf numFmtId="0" fontId="9" fillId="0" borderId="0" xfId="0" applyFont="1"/>
    <xf numFmtId="43" fontId="9" fillId="0" borderId="0" xfId="1" applyNumberFormat="1" applyFont="1"/>
    <xf numFmtId="49" fontId="11" fillId="0" borderId="9" xfId="0" applyNumberFormat="1" applyFont="1" applyBorder="1" applyAlignment="1">
      <alignment horizontal="left" vertical="center"/>
    </xf>
    <xf numFmtId="49" fontId="11" fillId="0" borderId="77" xfId="0" applyNumberFormat="1" applyFont="1" applyBorder="1" applyAlignment="1">
      <alignment horizontal="left" vertical="center"/>
    </xf>
    <xf numFmtId="49" fontId="11" fillId="0" borderId="83" xfId="0" applyNumberFormat="1" applyFont="1" applyBorder="1" applyAlignment="1">
      <alignment horizontal="left" vertical="center"/>
    </xf>
    <xf numFmtId="0" fontId="13" fillId="0" borderId="78" xfId="0" applyFont="1" applyBorder="1"/>
    <xf numFmtId="0" fontId="13" fillId="0" borderId="84" xfId="0" applyFont="1" applyBorder="1"/>
    <xf numFmtId="0" fontId="7" fillId="0" borderId="6" xfId="0" applyFont="1" applyBorder="1"/>
    <xf numFmtId="2" fontId="2" fillId="0" borderId="0" xfId="1" applyNumberFormat="1"/>
    <xf numFmtId="43" fontId="9" fillId="0" borderId="0" xfId="0" applyNumberFormat="1" applyFont="1"/>
    <xf numFmtId="4" fontId="44" fillId="0" borderId="67" xfId="12" applyNumberFormat="1" applyFont="1" applyBorder="1" applyAlignment="1" applyProtection="1">
      <alignment horizontal="right" shrinkToFit="1"/>
    </xf>
    <xf numFmtId="3" fontId="9" fillId="0" borderId="19" xfId="0" applyNumberFormat="1" applyFont="1" applyBorder="1" applyAlignment="1">
      <alignment vertical="center"/>
    </xf>
    <xf numFmtId="0" fontId="2" fillId="19" borderId="86" xfId="0" applyFont="1" applyFill="1" applyBorder="1" applyAlignment="1">
      <alignment horizontal="center" vertical="center" wrapText="1"/>
    </xf>
    <xf numFmtId="0" fontId="2" fillId="19" borderId="87" xfId="0" applyFont="1" applyFill="1" applyBorder="1" applyAlignment="1">
      <alignment horizontal="center" vertical="center" wrapText="1"/>
    </xf>
    <xf numFmtId="0" fontId="2" fillId="19" borderId="88" xfId="0" applyFont="1" applyFill="1" applyBorder="1" applyAlignment="1">
      <alignment horizontal="center" vertical="center" wrapText="1"/>
    </xf>
    <xf numFmtId="41" fontId="9" fillId="0" borderId="14" xfId="1" applyNumberFormat="1" applyFont="1" applyFill="1" applyBorder="1" applyAlignment="1" applyProtection="1">
      <alignment horizontal="right" vertical="center" shrinkToFit="1"/>
    </xf>
    <xf numFmtId="41" fontId="9" fillId="0" borderId="60" xfId="1" applyNumberFormat="1" applyFont="1" applyFill="1" applyBorder="1" applyAlignment="1" applyProtection="1">
      <alignment horizontal="right" vertical="center" shrinkToFit="1"/>
    </xf>
    <xf numFmtId="0" fontId="58" fillId="0" borderId="81" xfId="0" applyFont="1" applyBorder="1" applyAlignment="1">
      <alignment horizontal="right" vertical="center"/>
    </xf>
    <xf numFmtId="0" fontId="9" fillId="0" borderId="19" xfId="0" applyFont="1" applyBorder="1" applyAlignment="1">
      <alignment vertical="center"/>
    </xf>
    <xf numFmtId="0" fontId="9" fillId="19" borderId="86" xfId="0" applyFont="1" applyFill="1" applyBorder="1" applyAlignment="1">
      <alignment horizontal="center" vertical="center" wrapText="1"/>
    </xf>
    <xf numFmtId="0" fontId="9" fillId="19" borderId="87" xfId="0" applyFont="1" applyFill="1" applyBorder="1" applyAlignment="1">
      <alignment horizontal="center" vertical="center" wrapText="1"/>
    </xf>
    <xf numFmtId="0" fontId="9" fillId="19" borderId="8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vertical="center" wrapText="1"/>
    </xf>
    <xf numFmtId="0" fontId="0" fillId="0" borderId="94" xfId="0" applyBorder="1"/>
    <xf numFmtId="3" fontId="14" fillId="0" borderId="95" xfId="8" applyNumberFormat="1" applyFont="1" applyFill="1" applyBorder="1" applyAlignment="1" applyProtection="1">
      <alignment horizontal="center" vertical="center"/>
    </xf>
    <xf numFmtId="0" fontId="7" fillId="0" borderId="61" xfId="0" applyFont="1" applyBorder="1"/>
    <xf numFmtId="0" fontId="7" fillId="0" borderId="63" xfId="0" applyFont="1" applyBorder="1"/>
    <xf numFmtId="0" fontId="46" fillId="0" borderId="81" xfId="13" applyFont="1" applyBorder="1"/>
    <xf numFmtId="169" fontId="46" fillId="0" borderId="81" xfId="14" applyNumberFormat="1" applyFont="1" applyFill="1" applyBorder="1"/>
    <xf numFmtId="8" fontId="3" fillId="0" borderId="0" xfId="3" applyNumberFormat="1" applyAlignment="1">
      <alignment vertical="top" wrapText="1"/>
    </xf>
    <xf numFmtId="43" fontId="48" fillId="0" borderId="0" xfId="0" applyNumberFormat="1" applyFont="1" applyAlignment="1" applyProtection="1">
      <alignment horizontal="center" vertical="center"/>
      <protection locked="0"/>
    </xf>
    <xf numFmtId="43" fontId="59" fillId="0" borderId="81" xfId="1" applyNumberFormat="1" applyFont="1" applyBorder="1"/>
    <xf numFmtId="0" fontId="17" fillId="9" borderId="14" xfId="6" applyFont="1" applyFill="1" applyBorder="1" applyAlignment="1" applyProtection="1">
      <alignment horizontal="center"/>
      <protection locked="0"/>
    </xf>
    <xf numFmtId="0" fontId="17" fillId="9" borderId="96" xfId="6" applyFont="1" applyFill="1" applyBorder="1" applyAlignment="1" applyProtection="1">
      <alignment horizontal="left"/>
      <protection locked="0"/>
    </xf>
    <xf numFmtId="38" fontId="5" fillId="9" borderId="96" xfId="6" applyNumberFormat="1" applyFont="1" applyFill="1" applyBorder="1" applyAlignment="1" applyProtection="1">
      <alignment vertical="center"/>
      <protection locked="0"/>
    </xf>
    <xf numFmtId="38" fontId="31" fillId="9" borderId="96" xfId="6" applyNumberFormat="1" applyFont="1" applyFill="1" applyBorder="1" applyAlignment="1" applyProtection="1">
      <alignment vertical="center"/>
      <protection locked="0"/>
    </xf>
    <xf numFmtId="0" fontId="20" fillId="0" borderId="97" xfId="6" applyFont="1" applyBorder="1" applyAlignment="1">
      <alignment horizontal="center"/>
    </xf>
    <xf numFmtId="0" fontId="20" fillId="0" borderId="96" xfId="6" applyFont="1" applyBorder="1" applyAlignment="1">
      <alignment horizontal="center"/>
    </xf>
    <xf numFmtId="0" fontId="17" fillId="9" borderId="96" xfId="6" applyFont="1" applyFill="1" applyBorder="1" applyAlignment="1" applyProtection="1">
      <alignment horizontal="center"/>
      <protection locked="0"/>
    </xf>
    <xf numFmtId="49" fontId="9" fillId="6" borderId="13" xfId="0" applyNumberFormat="1" applyFont="1" applyFill="1" applyBorder="1" applyAlignment="1">
      <alignment horizontal="center" vertical="center" wrapText="1"/>
    </xf>
    <xf numFmtId="3" fontId="9" fillId="0" borderId="11" xfId="0" applyNumberFormat="1" applyFont="1" applyBorder="1" applyAlignment="1">
      <alignment vertical="center"/>
    </xf>
    <xf numFmtId="41" fontId="9" fillId="17" borderId="19" xfId="1" applyNumberFormat="1" applyFont="1" applyFill="1" applyBorder="1" applyAlignment="1" applyProtection="1">
      <alignment horizontal="right" vertical="center" shrinkToFit="1"/>
    </xf>
    <xf numFmtId="41" fontId="9" fillId="17" borderId="81" xfId="1" applyNumberFormat="1" applyFont="1" applyFill="1" applyBorder="1" applyAlignment="1" applyProtection="1">
      <alignment horizontal="right" vertical="center" shrinkToFit="1"/>
    </xf>
    <xf numFmtId="41" fontId="9" fillId="17" borderId="60" xfId="1" applyNumberFormat="1" applyFont="1" applyFill="1" applyBorder="1" applyAlignment="1" applyProtection="1">
      <alignment horizontal="right" vertical="center" shrinkToFit="1"/>
    </xf>
    <xf numFmtId="3" fontId="7" fillId="0" borderId="0" xfId="0" applyNumberFormat="1" applyFont="1" applyAlignment="1">
      <alignment vertical="center" wrapText="1"/>
    </xf>
    <xf numFmtId="41" fontId="9" fillId="0" borderId="66" xfId="1" applyNumberFormat="1" applyFont="1" applyFill="1" applyBorder="1" applyAlignment="1" applyProtection="1">
      <alignment horizontal="right" vertical="center" shrinkToFit="1"/>
    </xf>
    <xf numFmtId="41" fontId="9" fillId="0" borderId="100" xfId="1" applyNumberFormat="1" applyFont="1" applyFill="1" applyBorder="1" applyAlignment="1" applyProtection="1">
      <alignment horizontal="right" vertical="center" shrinkToFit="1"/>
    </xf>
    <xf numFmtId="37" fontId="9" fillId="9" borderId="68" xfId="12" applyNumberFormat="1" applyFont="1" applyFill="1" applyBorder="1" applyAlignment="1" applyProtection="1">
      <alignment horizontal="center" vertical="center" shrinkToFit="1"/>
      <protection locked="0"/>
    </xf>
    <xf numFmtId="37" fontId="9" fillId="0" borderId="101" xfId="12" applyNumberFormat="1" applyFont="1" applyFill="1" applyBorder="1" applyAlignment="1" applyProtection="1">
      <alignment horizontal="center" vertical="center" wrapText="1" shrinkToFit="1"/>
    </xf>
    <xf numFmtId="0" fontId="37" fillId="0" borderId="13" xfId="0" applyFont="1" applyBorder="1" applyAlignment="1">
      <alignment horizontal="center" vertical="center"/>
    </xf>
    <xf numFmtId="3" fontId="9" fillId="17" borderId="19" xfId="0" applyNumberFormat="1" applyFont="1" applyFill="1" applyBorder="1" applyAlignment="1">
      <alignment vertical="center"/>
    </xf>
    <xf numFmtId="0" fontId="29" fillId="0" borderId="0" xfId="0" applyFont="1"/>
    <xf numFmtId="0" fontId="7" fillId="0" borderId="19" xfId="0" applyFont="1" applyBorder="1" applyAlignment="1">
      <alignment horizontal="center" vertical="center"/>
    </xf>
    <xf numFmtId="43" fontId="46" fillId="0" borderId="0" xfId="13" applyNumberFormat="1" applyFont="1"/>
    <xf numFmtId="0" fontId="37" fillId="0" borderId="0" xfId="0" applyFont="1" applyAlignment="1">
      <alignment vertical="center"/>
    </xf>
    <xf numFmtId="10" fontId="0" fillId="20" borderId="0" xfId="0" applyNumberFormat="1" applyFill="1" applyAlignment="1">
      <alignment horizontal="center" vertical="center"/>
    </xf>
    <xf numFmtId="2" fontId="0" fillId="14" borderId="0" xfId="0" applyNumberFormat="1" applyFill="1" applyAlignment="1">
      <alignment horizontal="center"/>
    </xf>
    <xf numFmtId="0" fontId="0" fillId="0" borderId="85" xfId="0" applyBorder="1"/>
    <xf numFmtId="0" fontId="7" fillId="0" borderId="85" xfId="0" applyFont="1" applyBorder="1"/>
    <xf numFmtId="0" fontId="2" fillId="0" borderId="89" xfId="0" applyFont="1" applyBorder="1" applyAlignment="1">
      <alignment horizontal="center"/>
    </xf>
    <xf numFmtId="4" fontId="0" fillId="14" borderId="0" xfId="0" applyNumberFormat="1" applyFill="1" applyAlignment="1">
      <alignment horizontal="center"/>
    </xf>
    <xf numFmtId="0" fontId="9" fillId="0" borderId="0" xfId="0" applyFont="1" applyAlignment="1">
      <alignment horizontal="center"/>
    </xf>
    <xf numFmtId="10" fontId="0" fillId="14" borderId="0" xfId="0" applyNumberFormat="1" applyFill="1"/>
    <xf numFmtId="2" fontId="0" fillId="0" borderId="14" xfId="0" applyNumberFormat="1" applyBorder="1"/>
    <xf numFmtId="2" fontId="0" fillId="0" borderId="64" xfId="0" applyNumberFormat="1" applyBorder="1"/>
    <xf numFmtId="2" fontId="7" fillId="0" borderId="65" xfId="0" applyNumberFormat="1" applyFont="1" applyBorder="1"/>
    <xf numFmtId="1" fontId="0" fillId="0" borderId="14" xfId="0" applyNumberFormat="1" applyBorder="1"/>
    <xf numFmtId="1" fontId="7" fillId="0" borderId="62" xfId="0" applyNumberFormat="1" applyFont="1" applyBorder="1"/>
    <xf numFmtId="3" fontId="10" fillId="0" borderId="0" xfId="0" applyNumberFormat="1" applyFont="1" applyAlignment="1">
      <alignment horizontal="center"/>
    </xf>
    <xf numFmtId="14" fontId="11" fillId="0" borderId="23" xfId="0" applyNumberFormat="1" applyFont="1" applyBorder="1" applyAlignment="1">
      <alignment horizontal="left"/>
    </xf>
    <xf numFmtId="0" fontId="0" fillId="0" borderId="45" xfId="0" applyBorder="1"/>
    <xf numFmtId="0" fontId="2" fillId="0" borderId="27" xfId="0" applyFont="1" applyBorder="1"/>
    <xf numFmtId="0" fontId="11" fillId="0" borderId="0" xfId="0" applyFont="1" applyAlignment="1" applyProtection="1">
      <alignment horizontal="center" wrapText="1"/>
      <protection locked="0"/>
    </xf>
    <xf numFmtId="0" fontId="11" fillId="0" borderId="0" xfId="0" applyFont="1" applyProtection="1">
      <protection locked="0"/>
    </xf>
    <xf numFmtId="170" fontId="11" fillId="0" borderId="0" xfId="0" applyNumberFormat="1" applyFont="1" applyProtection="1">
      <protection locked="0"/>
    </xf>
    <xf numFmtId="0" fontId="0" fillId="0" borderId="23" xfId="0" applyBorder="1"/>
    <xf numFmtId="49" fontId="10" fillId="0" borderId="27" xfId="0" applyNumberFormat="1" applyFont="1" applyBorder="1" applyAlignment="1">
      <alignment horizontal="left"/>
    </xf>
    <xf numFmtId="0" fontId="0" fillId="3" borderId="84" xfId="0" applyFill="1" applyBorder="1"/>
    <xf numFmtId="0" fontId="2" fillId="7" borderId="27" xfId="0" applyFont="1" applyFill="1" applyBorder="1"/>
    <xf numFmtId="37" fontId="27" fillId="3" borderId="84" xfId="0" applyNumberFormat="1" applyFont="1" applyFill="1" applyBorder="1" applyAlignment="1">
      <alignment horizontal="center"/>
    </xf>
    <xf numFmtId="10" fontId="15" fillId="0" borderId="27" xfId="0" applyNumberFormat="1" applyFont="1" applyBorder="1" applyAlignment="1">
      <alignment horizontal="center"/>
    </xf>
    <xf numFmtId="10" fontId="15" fillId="7" borderId="27" xfId="0" applyNumberFormat="1" applyFont="1" applyFill="1" applyBorder="1" applyAlignment="1">
      <alignment horizontal="center"/>
    </xf>
    <xf numFmtId="37" fontId="2" fillId="0" borderId="23" xfId="0" quotePrefix="1" applyNumberFormat="1" applyFont="1" applyBorder="1" applyAlignment="1">
      <alignment horizontal="left" vertical="center"/>
    </xf>
    <xf numFmtId="3" fontId="57" fillId="0" borderId="23" xfId="0" applyNumberFormat="1" applyFont="1" applyBorder="1" applyAlignment="1">
      <alignment vertical="center"/>
    </xf>
    <xf numFmtId="10" fontId="11" fillId="0" borderId="0" xfId="0" applyNumberFormat="1" applyFont="1"/>
    <xf numFmtId="43" fontId="60" fillId="0" borderId="0" xfId="0" applyNumberFormat="1" applyFont="1"/>
    <xf numFmtId="0" fontId="60" fillId="0" borderId="0" xfId="0" applyFont="1"/>
    <xf numFmtId="3" fontId="61" fillId="0" borderId="23" xfId="0" applyNumberFormat="1" applyFont="1" applyBorder="1" applyAlignment="1">
      <alignment vertical="center"/>
    </xf>
    <xf numFmtId="10" fontId="28" fillId="0" borderId="4" xfId="0" applyNumberFormat="1" applyFont="1" applyBorder="1" applyAlignment="1" applyProtection="1">
      <alignment horizontal="center"/>
      <protection locked="0"/>
    </xf>
    <xf numFmtId="38" fontId="31" fillId="21" borderId="14" xfId="6" applyNumberFormat="1" applyFont="1" applyFill="1" applyBorder="1" applyAlignment="1" applyProtection="1">
      <alignment vertical="center"/>
      <protection locked="0"/>
    </xf>
    <xf numFmtId="38" fontId="5" fillId="21" borderId="14" xfId="6" applyNumberFormat="1" applyFont="1" applyFill="1" applyBorder="1" applyAlignment="1" applyProtection="1">
      <alignment vertical="center"/>
      <protection locked="0"/>
    </xf>
    <xf numFmtId="38" fontId="31" fillId="21" borderId="14" xfId="6" applyNumberFormat="1" applyFont="1" applyFill="1" applyBorder="1" applyAlignment="1">
      <alignment vertical="center"/>
    </xf>
    <xf numFmtId="164" fontId="22" fillId="21" borderId="14" xfId="6" applyNumberFormat="1" applyFont="1" applyFill="1" applyBorder="1" applyAlignment="1">
      <alignment vertical="center"/>
    </xf>
    <xf numFmtId="38" fontId="24" fillId="21" borderId="14" xfId="6" applyNumberFormat="1" applyFont="1" applyFill="1" applyBorder="1" applyAlignment="1">
      <alignment vertical="center"/>
    </xf>
    <xf numFmtId="0" fontId="17" fillId="21" borderId="0" xfId="6" applyFont="1" applyFill="1"/>
    <xf numFmtId="164" fontId="17" fillId="21" borderId="0" xfId="6" applyNumberFormat="1" applyFont="1" applyFill="1"/>
    <xf numFmtId="38" fontId="17" fillId="21" borderId="16" xfId="6" applyNumberFormat="1" applyFont="1" applyFill="1" applyBorder="1"/>
    <xf numFmtId="40" fontId="17" fillId="21" borderId="0" xfId="6" applyNumberFormat="1" applyFont="1" applyFill="1"/>
    <xf numFmtId="43" fontId="17" fillId="21" borderId="0" xfId="6" applyNumberFormat="1" applyFont="1" applyFill="1"/>
    <xf numFmtId="38" fontId="17" fillId="21" borderId="2" xfId="6" applyNumberFormat="1" applyFont="1" applyFill="1" applyBorder="1"/>
    <xf numFmtId="38" fontId="17" fillId="21" borderId="0" xfId="6" applyNumberFormat="1" applyFont="1" applyFill="1"/>
    <xf numFmtId="43" fontId="2" fillId="21" borderId="0" xfId="1" applyNumberFormat="1" applyFill="1"/>
    <xf numFmtId="0" fontId="20" fillId="21" borderId="15" xfId="6" applyFont="1" applyFill="1" applyBorder="1"/>
    <xf numFmtId="0" fontId="20" fillId="21" borderId="11" xfId="6" applyFont="1" applyFill="1" applyBorder="1"/>
    <xf numFmtId="44" fontId="9" fillId="0" borderId="81" xfId="0" applyNumberFormat="1" applyFont="1" applyBorder="1" applyAlignment="1">
      <alignment vertical="center"/>
    </xf>
    <xf numFmtId="3" fontId="9" fillId="22" borderId="14" xfId="0" applyNumberFormat="1" applyFont="1" applyFill="1" applyBorder="1" applyAlignment="1">
      <alignment horizontal="right" vertical="center"/>
    </xf>
    <xf numFmtId="4" fontId="9" fillId="22" borderId="14" xfId="0" applyNumberFormat="1" applyFont="1" applyFill="1" applyBorder="1" applyAlignment="1">
      <alignment horizontal="center" vertical="center"/>
    </xf>
    <xf numFmtId="41" fontId="9" fillId="22" borderId="19" xfId="1" applyNumberFormat="1" applyFont="1" applyFill="1" applyBorder="1" applyAlignment="1" applyProtection="1">
      <alignment horizontal="right" vertical="center" shrinkToFit="1"/>
    </xf>
    <xf numFmtId="41" fontId="9" fillId="22" borderId="11" xfId="1" applyNumberFormat="1" applyFont="1" applyFill="1" applyBorder="1" applyAlignment="1" applyProtection="1">
      <alignment horizontal="right" vertical="center" shrinkToFit="1"/>
    </xf>
    <xf numFmtId="41" fontId="9" fillId="22" borderId="14" xfId="1" applyNumberFormat="1" applyFont="1" applyFill="1" applyBorder="1" applyAlignment="1" applyProtection="1">
      <alignment horizontal="right" vertical="center" shrinkToFit="1"/>
    </xf>
    <xf numFmtId="41" fontId="9" fillId="22" borderId="66" xfId="1" applyNumberFormat="1" applyFont="1" applyFill="1" applyBorder="1" applyAlignment="1" applyProtection="1">
      <alignment horizontal="right" vertical="center" shrinkToFit="1"/>
    </xf>
    <xf numFmtId="0" fontId="11" fillId="0" borderId="71" xfId="0" applyFont="1" applyBorder="1"/>
    <xf numFmtId="3" fontId="11" fillId="0" borderId="75" xfId="0" quotePrefix="1" applyNumberFormat="1" applyFont="1" applyBorder="1" applyAlignment="1">
      <alignment horizontal="left"/>
    </xf>
    <xf numFmtId="3" fontId="11" fillId="0" borderId="75" xfId="0" quotePrefix="1" applyNumberFormat="1" applyFont="1" applyBorder="1"/>
    <xf numFmtId="38" fontId="2" fillId="0" borderId="35" xfId="1" applyNumberFormat="1" applyFill="1" applyBorder="1" applyAlignment="1" applyProtection="1">
      <alignment horizontal="right"/>
    </xf>
    <xf numFmtId="38" fontId="2" fillId="0" borderId="36" xfId="0" applyNumberFormat="1" applyFont="1" applyBorder="1" applyAlignment="1">
      <alignment vertical="center"/>
    </xf>
    <xf numFmtId="10" fontId="8" fillId="0" borderId="0" xfId="8" applyNumberFormat="1" applyAlignment="1">
      <alignment vertical="center"/>
    </xf>
    <xf numFmtId="38" fontId="11" fillId="9" borderId="10" xfId="0" applyNumberFormat="1" applyFont="1" applyFill="1" applyBorder="1" applyProtection="1">
      <protection locked="0"/>
    </xf>
    <xf numFmtId="171" fontId="10" fillId="0" borderId="0" xfId="0" applyNumberFormat="1" applyFont="1"/>
    <xf numFmtId="171" fontId="10" fillId="0" borderId="0" xfId="0" applyNumberFormat="1" applyFont="1" applyAlignment="1">
      <alignment horizontal="left"/>
    </xf>
    <xf numFmtId="3" fontId="10" fillId="0" borderId="0" xfId="0" applyNumberFormat="1" applyFont="1" applyAlignment="1">
      <alignment horizontal="center"/>
    </xf>
    <xf numFmtId="3" fontId="57" fillId="0" borderId="0" xfId="0" applyNumberFormat="1" applyFont="1" applyAlignment="1">
      <alignment horizontal="center"/>
    </xf>
    <xf numFmtId="0" fontId="11" fillId="9" borderId="1" xfId="0" applyFont="1" applyFill="1" applyBorder="1" applyAlignment="1" applyProtection="1">
      <alignment horizontal="center"/>
      <protection locked="0"/>
    </xf>
    <xf numFmtId="14" fontId="11" fillId="9" borderId="1" xfId="0" applyNumberFormat="1" applyFont="1" applyFill="1" applyBorder="1" applyAlignment="1" applyProtection="1">
      <alignment horizontal="center"/>
      <protection locked="0"/>
    </xf>
    <xf numFmtId="3" fontId="14" fillId="0" borderId="42" xfId="8" applyNumberFormat="1" applyFont="1" applyFill="1" applyBorder="1" applyAlignment="1" applyProtection="1">
      <alignment horizontal="center" vertical="center"/>
    </xf>
    <xf numFmtId="3" fontId="14" fillId="0" borderId="43" xfId="8" applyNumberFormat="1" applyFont="1" applyFill="1" applyBorder="1" applyAlignment="1" applyProtection="1">
      <alignment horizontal="center" vertical="center"/>
    </xf>
    <xf numFmtId="49" fontId="10" fillId="0" borderId="44" xfId="0" applyNumberFormat="1" applyFont="1" applyBorder="1" applyAlignment="1">
      <alignment horizontal="left" vertical="center"/>
    </xf>
    <xf numFmtId="0" fontId="0" fillId="0" borderId="45" xfId="0" applyBorder="1"/>
    <xf numFmtId="49" fontId="11" fillId="0" borderId="9" xfId="0" applyNumberFormat="1" applyFont="1" applyBorder="1" applyAlignment="1">
      <alignment horizontal="left" vertical="center"/>
    </xf>
    <xf numFmtId="0" fontId="2" fillId="0" borderId="6" xfId="0" applyFont="1" applyBorder="1"/>
    <xf numFmtId="49" fontId="11" fillId="0" borderId="9" xfId="0" quotePrefix="1" applyNumberFormat="1" applyFont="1" applyBorder="1" applyAlignment="1">
      <alignment horizontal="left" vertical="center"/>
    </xf>
    <xf numFmtId="3" fontId="10" fillId="16" borderId="44" xfId="8" applyNumberFormat="1" applyFont="1" applyFill="1" applyBorder="1" applyAlignment="1" applyProtection="1">
      <alignment horizontal="center" wrapText="1"/>
    </xf>
    <xf numFmtId="3" fontId="10" fillId="16" borderId="45" xfId="8" applyNumberFormat="1" applyFont="1" applyFill="1" applyBorder="1" applyAlignment="1" applyProtection="1">
      <alignment horizontal="center" wrapText="1"/>
    </xf>
    <xf numFmtId="3" fontId="10" fillId="16" borderId="30" xfId="8" applyNumberFormat="1" applyFont="1" applyFill="1" applyBorder="1" applyAlignment="1" applyProtection="1">
      <alignment horizontal="center" wrapText="1"/>
    </xf>
    <xf numFmtId="49" fontId="25" fillId="0" borderId="9" xfId="0" applyNumberFormat="1" applyFont="1" applyBorder="1" applyAlignment="1">
      <alignment horizontal="left" vertical="center"/>
    </xf>
    <xf numFmtId="0" fontId="13" fillId="0" borderId="6" xfId="0" applyFont="1" applyBorder="1"/>
    <xf numFmtId="0" fontId="11" fillId="0" borderId="0" xfId="0" quotePrefix="1" applyFont="1" applyAlignment="1">
      <alignment horizontal="left"/>
    </xf>
    <xf numFmtId="49" fontId="10" fillId="3" borderId="6" xfId="0" quotePrefix="1" applyNumberFormat="1" applyFont="1" applyFill="1" applyBorder="1" applyAlignment="1">
      <alignment horizontal="left" vertical="center"/>
    </xf>
    <xf numFmtId="49" fontId="10" fillId="3" borderId="6" xfId="0" applyNumberFormat="1" applyFont="1" applyFill="1" applyBorder="1" applyAlignment="1">
      <alignment horizontal="left" vertical="center"/>
    </xf>
    <xf numFmtId="0" fontId="0" fillId="0" borderId="46" xfId="0" applyBorder="1"/>
    <xf numFmtId="3" fontId="57" fillId="0" borderId="0" xfId="0" applyNumberFormat="1" applyFont="1" applyAlignment="1">
      <alignment horizontal="center" vertical="center"/>
    </xf>
    <xf numFmtId="49" fontId="2" fillId="0" borderId="23" xfId="0" quotePrefix="1" applyNumberFormat="1" applyFont="1" applyBorder="1" applyAlignment="1">
      <alignment horizontal="left" vertical="center"/>
    </xf>
    <xf numFmtId="0" fontId="2" fillId="0" borderId="23" xfId="0" applyFont="1" applyBorder="1"/>
    <xf numFmtId="0" fontId="12" fillId="0" borderId="47" xfId="0" applyFont="1" applyBorder="1" applyAlignment="1">
      <alignment horizontal="left" vertical="center"/>
    </xf>
    <xf numFmtId="0" fontId="12" fillId="0" borderId="48" xfId="0" applyFont="1" applyBorder="1" applyAlignment="1">
      <alignment horizontal="left" vertical="center"/>
    </xf>
    <xf numFmtId="0" fontId="12" fillId="0" borderId="49" xfId="0" applyFont="1" applyBorder="1" applyAlignment="1">
      <alignment horizontal="left" vertical="center"/>
    </xf>
    <xf numFmtId="0" fontId="10" fillId="0" borderId="0" xfId="0" quotePrefix="1" applyFont="1" applyAlignment="1">
      <alignment horizontal="center"/>
    </xf>
    <xf numFmtId="49" fontId="10" fillId="0" borderId="40" xfId="0" applyNumberFormat="1" applyFont="1" applyBorder="1" applyAlignment="1">
      <alignment horizontal="left" vertical="center"/>
    </xf>
    <xf numFmtId="0" fontId="0" fillId="0" borderId="41" xfId="0" applyBorder="1"/>
    <xf numFmtId="0" fontId="11" fillId="9" borderId="37" xfId="0" applyFont="1" applyFill="1" applyBorder="1" applyAlignment="1" applyProtection="1">
      <alignment horizontal="center"/>
      <protection locked="0"/>
    </xf>
    <xf numFmtId="0" fontId="13" fillId="0" borderId="46" xfId="0" applyFont="1" applyBorder="1"/>
    <xf numFmtId="49" fontId="25" fillId="0" borderId="6" xfId="0" applyNumberFormat="1" applyFont="1" applyBorder="1" applyAlignment="1">
      <alignment horizontal="left" vertical="center"/>
    </xf>
    <xf numFmtId="49" fontId="25" fillId="7" borderId="50" xfId="0" quotePrefix="1" applyNumberFormat="1" applyFont="1" applyFill="1" applyBorder="1" applyAlignment="1">
      <alignment horizontal="left" vertical="center"/>
    </xf>
    <xf numFmtId="0" fontId="13" fillId="7" borderId="50" xfId="0" applyFont="1" applyFill="1" applyBorder="1"/>
    <xf numFmtId="0" fontId="13" fillId="7" borderId="51" xfId="0" applyFont="1" applyFill="1" applyBorder="1"/>
    <xf numFmtId="49" fontId="11" fillId="6" borderId="9" xfId="0" quotePrefix="1" applyNumberFormat="1" applyFont="1" applyFill="1" applyBorder="1" applyAlignment="1">
      <alignment horizontal="left" vertical="center"/>
    </xf>
    <xf numFmtId="0" fontId="2" fillId="6" borderId="6" xfId="0" applyFont="1" applyFill="1" applyBorder="1"/>
    <xf numFmtId="0" fontId="0" fillId="6" borderId="46" xfId="0" applyFill="1" applyBorder="1"/>
    <xf numFmtId="49" fontId="11" fillId="7" borderId="9" xfId="0" applyNumberFormat="1" applyFont="1" applyFill="1" applyBorder="1" applyAlignment="1">
      <alignment horizontal="left" vertical="center"/>
    </xf>
    <xf numFmtId="0" fontId="2" fillId="7" borderId="6" xfId="0" applyFont="1" applyFill="1" applyBorder="1"/>
    <xf numFmtId="0" fontId="21" fillId="0" borderId="1" xfId="6" applyFont="1" applyBorder="1" applyAlignment="1">
      <alignment horizontal="left" vertical="center"/>
    </xf>
    <xf numFmtId="0" fontId="20" fillId="0" borderId="12" xfId="6" applyFont="1" applyBorder="1" applyAlignment="1">
      <alignment horizontal="center" vertical="center"/>
    </xf>
    <xf numFmtId="0" fontId="20" fillId="0" borderId="13" xfId="6" applyFont="1" applyBorder="1" applyAlignment="1">
      <alignment horizontal="center" vertical="center"/>
    </xf>
    <xf numFmtId="0" fontId="20" fillId="0" borderId="19" xfId="6" applyFont="1" applyBorder="1" applyAlignment="1">
      <alignment horizontal="center" vertical="center"/>
    </xf>
    <xf numFmtId="0" fontId="20" fillId="5" borderId="12" xfId="6" applyFont="1" applyFill="1" applyBorder="1" applyAlignment="1">
      <alignment horizontal="center" vertical="center" wrapText="1"/>
    </xf>
    <xf numFmtId="0" fontId="20" fillId="5" borderId="13" xfId="6" applyFont="1" applyFill="1" applyBorder="1" applyAlignment="1">
      <alignment horizontal="center" vertical="center" wrapText="1"/>
    </xf>
    <xf numFmtId="0" fontId="20" fillId="5" borderId="19" xfId="6" applyFont="1" applyFill="1" applyBorder="1" applyAlignment="1">
      <alignment horizontal="center" vertical="center" wrapText="1"/>
    </xf>
    <xf numFmtId="0" fontId="20" fillId="0" borderId="82" xfId="6" applyFont="1" applyBorder="1" applyAlignment="1">
      <alignment horizontal="center" vertical="top" wrapText="1"/>
    </xf>
    <xf numFmtId="0" fontId="20" fillId="0" borderId="13" xfId="6" applyFont="1" applyBorder="1" applyAlignment="1">
      <alignment horizontal="center" vertical="top" wrapText="1"/>
    </xf>
    <xf numFmtId="0" fontId="20" fillId="0" borderId="19" xfId="6" applyFont="1" applyBorder="1" applyAlignment="1">
      <alignment horizontal="center" vertical="top" wrapText="1"/>
    </xf>
    <xf numFmtId="0" fontId="20" fillId="0" borderId="59" xfId="6" applyFont="1" applyBorder="1" applyAlignment="1">
      <alignment horizontal="center" vertical="top" wrapText="1"/>
    </xf>
    <xf numFmtId="0" fontId="20" fillId="0" borderId="13" xfId="6" applyFont="1" applyBorder="1" applyAlignment="1">
      <alignment horizontal="center" vertical="top"/>
    </xf>
    <xf numFmtId="0" fontId="20" fillId="0" borderId="19" xfId="6" applyFont="1" applyBorder="1" applyAlignment="1">
      <alignment horizontal="center" vertical="top"/>
    </xf>
    <xf numFmtId="9" fontId="5" fillId="9" borderId="14" xfId="0" applyNumberFormat="1" applyFont="1" applyFill="1" applyBorder="1" applyAlignment="1" applyProtection="1">
      <alignment horizontal="right" vertical="center"/>
      <protection locked="0"/>
    </xf>
    <xf numFmtId="166" fontId="5" fillId="0" borderId="14" xfId="0" applyNumberFormat="1" applyFont="1" applyBorder="1" applyAlignment="1">
      <alignment vertical="center"/>
    </xf>
    <xf numFmtId="165" fontId="5" fillId="9" borderId="38" xfId="0" applyNumberFormat="1" applyFont="1" applyFill="1" applyBorder="1" applyAlignment="1" applyProtection="1">
      <alignment horizontal="right" vertical="center"/>
      <protection locked="0"/>
    </xf>
    <xf numFmtId="165" fontId="5" fillId="9" borderId="39" xfId="0" applyNumberFormat="1" applyFont="1" applyFill="1" applyBorder="1" applyAlignment="1" applyProtection="1">
      <alignment horizontal="right" vertical="center"/>
      <protection locked="0"/>
    </xf>
    <xf numFmtId="165" fontId="5" fillId="0" borderId="14" xfId="0" applyNumberFormat="1" applyFont="1" applyBorder="1" applyAlignment="1">
      <alignment horizontal="right" vertical="center"/>
    </xf>
    <xf numFmtId="0" fontId="33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3" fontId="34" fillId="0" borderId="0" xfId="0" applyNumberFormat="1" applyFont="1" applyAlignment="1">
      <alignment horizontal="center" vertical="center"/>
    </xf>
    <xf numFmtId="0" fontId="4" fillId="0" borderId="38" xfId="0" applyFont="1" applyBorder="1" applyAlignment="1">
      <alignment horizontal="left" vertical="center" wrapText="1" indent="9"/>
    </xf>
    <xf numFmtId="0" fontId="4" fillId="0" borderId="39" xfId="0" applyFont="1" applyBorder="1" applyAlignment="1">
      <alignment horizontal="left" vertical="center"/>
    </xf>
    <xf numFmtId="3" fontId="7" fillId="0" borderId="0" xfId="0" applyNumberFormat="1" applyFont="1" applyAlignment="1">
      <alignment horizontal="center" vertical="center"/>
    </xf>
    <xf numFmtId="165" fontId="5" fillId="0" borderId="14" xfId="0" applyNumberFormat="1" applyFont="1" applyBorder="1" applyAlignment="1">
      <alignment horizontal="right" vertical="top"/>
    </xf>
    <xf numFmtId="166" fontId="5" fillId="0" borderId="14" xfId="0" applyNumberFormat="1" applyFont="1" applyBorder="1" applyAlignment="1">
      <alignment vertical="top"/>
    </xf>
    <xf numFmtId="9" fontId="5" fillId="0" borderId="14" xfId="0" applyNumberFormat="1" applyFont="1" applyBorder="1" applyAlignment="1">
      <alignment horizontal="right" vertical="top"/>
    </xf>
    <xf numFmtId="0" fontId="33" fillId="0" borderId="38" xfId="0" applyFont="1" applyBorder="1" applyAlignment="1">
      <alignment horizontal="left" vertical="top" wrapText="1"/>
    </xf>
    <xf numFmtId="0" fontId="33" fillId="0" borderId="37" xfId="0" applyFont="1" applyBorder="1" applyAlignment="1">
      <alignment horizontal="left" vertical="top" wrapText="1"/>
    </xf>
    <xf numFmtId="0" fontId="33" fillId="0" borderId="39" xfId="0" applyFont="1" applyBorder="1" applyAlignment="1">
      <alignment horizontal="left" vertical="top" wrapText="1"/>
    </xf>
    <xf numFmtId="165" fontId="5" fillId="0" borderId="38" xfId="0" applyNumberFormat="1" applyFont="1" applyBorder="1" applyAlignment="1">
      <alignment horizontal="right" vertical="top"/>
    </xf>
    <xf numFmtId="165" fontId="5" fillId="0" borderId="39" xfId="0" applyNumberFormat="1" applyFont="1" applyBorder="1" applyAlignment="1">
      <alignment horizontal="right" vertical="top"/>
    </xf>
    <xf numFmtId="0" fontId="7" fillId="10" borderId="1" xfId="0" applyFont="1" applyFill="1" applyBorder="1" applyAlignment="1">
      <alignment horizontal="center" vertical="center"/>
    </xf>
    <xf numFmtId="0" fontId="4" fillId="10" borderId="38" xfId="0" applyFont="1" applyFill="1" applyBorder="1" applyAlignment="1">
      <alignment horizontal="center" vertical="center" wrapText="1"/>
    </xf>
    <xf numFmtId="0" fontId="4" fillId="10" borderId="39" xfId="0" applyFont="1" applyFill="1" applyBorder="1" applyAlignment="1">
      <alignment horizontal="center" vertical="center" wrapText="1"/>
    </xf>
    <xf numFmtId="3" fontId="2" fillId="0" borderId="14" xfId="3" applyNumberFormat="1" applyFont="1" applyFill="1" applyBorder="1" applyAlignment="1" applyProtection="1">
      <alignment horizontal="right" vertical="center"/>
      <protection locked="0"/>
    </xf>
    <xf numFmtId="3" fontId="3" fillId="0" borderId="14" xfId="3" applyNumberFormat="1" applyFill="1" applyBorder="1" applyAlignment="1" applyProtection="1">
      <alignment horizontal="right" vertical="center"/>
      <protection locked="0"/>
    </xf>
    <xf numFmtId="3" fontId="3" fillId="0" borderId="14" xfId="3" applyNumberFormat="1" applyFill="1" applyBorder="1" applyAlignment="1" applyProtection="1">
      <alignment horizontal="right" vertical="center"/>
    </xf>
    <xf numFmtId="0" fontId="40" fillId="0" borderId="1" xfId="0" applyFont="1" applyBorder="1" applyAlignment="1">
      <alignment horizontal="center" vertical="center"/>
    </xf>
    <xf numFmtId="167" fontId="41" fillId="0" borderId="1" xfId="3" applyNumberFormat="1" applyFont="1" applyFill="1" applyBorder="1" applyAlignment="1" applyProtection="1">
      <alignment horizontal="left" vertical="center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top" wrapText="1"/>
    </xf>
    <xf numFmtId="165" fontId="5" fillId="9" borderId="38" xfId="0" applyNumberFormat="1" applyFont="1" applyFill="1" applyBorder="1" applyAlignment="1" applyProtection="1">
      <alignment horizontal="left" vertical="center" wrapText="1"/>
      <protection locked="0"/>
    </xf>
    <xf numFmtId="165" fontId="5" fillId="9" borderId="37" xfId="0" applyNumberFormat="1" applyFont="1" applyFill="1" applyBorder="1" applyAlignment="1" applyProtection="1">
      <alignment horizontal="left" vertical="center" wrapText="1"/>
      <protection locked="0"/>
    </xf>
    <xf numFmtId="165" fontId="5" fillId="9" borderId="39" xfId="0" applyNumberFormat="1" applyFont="1" applyFill="1" applyBorder="1" applyAlignment="1" applyProtection="1">
      <alignment horizontal="left" vertical="center" wrapText="1"/>
      <protection locked="0"/>
    </xf>
    <xf numFmtId="165" fontId="5" fillId="9" borderId="38" xfId="0" applyNumberFormat="1" applyFont="1" applyFill="1" applyBorder="1" applyAlignment="1" applyProtection="1">
      <alignment horizontal="left" vertical="center"/>
      <protection locked="0"/>
    </xf>
    <xf numFmtId="165" fontId="5" fillId="9" borderId="37" xfId="0" applyNumberFormat="1" applyFont="1" applyFill="1" applyBorder="1" applyAlignment="1" applyProtection="1">
      <alignment horizontal="left" vertical="center"/>
      <protection locked="0"/>
    </xf>
    <xf numFmtId="165" fontId="5" fillId="9" borderId="39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top" wrapText="1"/>
    </xf>
    <xf numFmtId="3" fontId="6" fillId="0" borderId="0" xfId="0" applyNumberFormat="1" applyFont="1" applyAlignment="1">
      <alignment horizontal="center" vertical="center"/>
    </xf>
    <xf numFmtId="165" fontId="5" fillId="0" borderId="38" xfId="0" applyNumberFormat="1" applyFont="1" applyBorder="1" applyAlignment="1">
      <alignment horizontal="left" vertical="center" wrapText="1"/>
    </xf>
    <xf numFmtId="165" fontId="5" fillId="0" borderId="37" xfId="0" applyNumberFormat="1" applyFont="1" applyBorder="1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4" fillId="0" borderId="38" xfId="0" applyFont="1" applyBorder="1" applyAlignment="1">
      <alignment horizontal="center" vertical="top" wrapText="1"/>
    </xf>
    <xf numFmtId="0" fontId="4" fillId="0" borderId="39" xfId="0" applyFont="1" applyBorder="1" applyAlignment="1">
      <alignment horizontal="center" vertical="top"/>
    </xf>
    <xf numFmtId="0" fontId="11" fillId="0" borderId="0" xfId="0" quotePrefix="1" applyFont="1" applyAlignment="1">
      <alignment horizontal="right"/>
    </xf>
    <xf numFmtId="0" fontId="4" fillId="0" borderId="38" xfId="0" applyFont="1" applyBorder="1" applyAlignment="1">
      <alignment horizontal="center" vertical="top"/>
    </xf>
    <xf numFmtId="0" fontId="4" fillId="0" borderId="37" xfId="0" applyFont="1" applyBorder="1" applyAlignment="1">
      <alignment horizontal="center" vertical="top"/>
    </xf>
    <xf numFmtId="0" fontId="37" fillId="0" borderId="0" xfId="0" applyFont="1" applyAlignment="1">
      <alignment horizontal="center" vertical="center"/>
    </xf>
    <xf numFmtId="0" fontId="7" fillId="18" borderId="87" xfId="0" applyFont="1" applyFill="1" applyBorder="1" applyAlignment="1">
      <alignment horizontal="center" vertical="center"/>
    </xf>
    <xf numFmtId="49" fontId="9" fillId="6" borderId="59" xfId="0" applyNumberFormat="1" applyFont="1" applyFill="1" applyBorder="1" applyAlignment="1">
      <alignment horizontal="center" vertical="center" wrapText="1"/>
    </xf>
    <xf numFmtId="49" fontId="9" fillId="6" borderId="13" xfId="0" applyNumberFormat="1" applyFont="1" applyFill="1" applyBorder="1" applyAlignment="1">
      <alignment horizontal="center" vertical="center" wrapText="1"/>
    </xf>
    <xf numFmtId="49" fontId="9" fillId="6" borderId="35" xfId="0" applyNumberFormat="1" applyFont="1" applyFill="1" applyBorder="1" applyAlignment="1">
      <alignment horizontal="center" vertical="center" wrapText="1"/>
    </xf>
    <xf numFmtId="0" fontId="57" fillId="0" borderId="86" xfId="0" applyFont="1" applyBorder="1" applyAlignment="1">
      <alignment horizontal="center" vertical="center"/>
    </xf>
    <xf numFmtId="0" fontId="57" fillId="0" borderId="87" xfId="0" applyFont="1" applyBorder="1" applyAlignment="1">
      <alignment horizontal="center" vertical="center"/>
    </xf>
    <xf numFmtId="0" fontId="57" fillId="0" borderId="88" xfId="0" applyFont="1" applyBorder="1" applyAlignment="1">
      <alignment horizontal="center" vertical="center"/>
    </xf>
    <xf numFmtId="4" fontId="44" fillId="0" borderId="38" xfId="12" applyNumberFormat="1" applyFont="1" applyBorder="1" applyAlignment="1" applyProtection="1">
      <alignment horizontal="right" shrinkToFit="1"/>
    </xf>
    <xf numFmtId="4" fontId="44" fillId="0" borderId="67" xfId="12" applyNumberFormat="1" applyFont="1" applyBorder="1" applyAlignment="1" applyProtection="1">
      <alignment horizontal="right" shrinkToFit="1"/>
    </xf>
    <xf numFmtId="4" fontId="44" fillId="0" borderId="39" xfId="12" applyNumberFormat="1" applyFont="1" applyBorder="1" applyAlignment="1" applyProtection="1">
      <alignment horizontal="right" shrinkToFit="1"/>
    </xf>
    <xf numFmtId="3" fontId="9" fillId="0" borderId="57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3" fontId="0" fillId="0" borderId="0" xfId="0" applyNumberFormat="1" applyAlignment="1">
      <alignment horizontal="center" vertical="center" shrinkToFit="1"/>
    </xf>
    <xf numFmtId="14" fontId="7" fillId="0" borderId="1" xfId="0" applyNumberFormat="1" applyFont="1" applyBorder="1" applyAlignment="1">
      <alignment horizontal="left" vertical="center" wrapText="1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6" borderId="85" xfId="0" applyFont="1" applyFill="1" applyBorder="1" applyAlignment="1">
      <alignment horizontal="center" vertical="center" wrapText="1"/>
    </xf>
    <xf numFmtId="0" fontId="9" fillId="6" borderId="72" xfId="0" applyFont="1" applyFill="1" applyBorder="1" applyAlignment="1">
      <alignment horizontal="center" vertical="center" wrapText="1"/>
    </xf>
    <xf numFmtId="0" fontId="9" fillId="6" borderId="74" xfId="0" applyFont="1" applyFill="1" applyBorder="1" applyAlignment="1">
      <alignment horizontal="center" vertical="center" wrapText="1"/>
    </xf>
    <xf numFmtId="0" fontId="7" fillId="6" borderId="67" xfId="0" applyFont="1" applyFill="1" applyBorder="1" applyAlignment="1">
      <alignment horizontal="center" vertical="center"/>
    </xf>
    <xf numFmtId="0" fontId="7" fillId="6" borderId="68" xfId="0" applyFont="1" applyFill="1" applyBorder="1" applyAlignment="1">
      <alignment horizontal="center" vertical="center"/>
    </xf>
    <xf numFmtId="49" fontId="9" fillId="6" borderId="91" xfId="0" applyNumberFormat="1" applyFont="1" applyFill="1" applyBorder="1" applyAlignment="1">
      <alignment horizontal="center" vertical="center" wrapText="1"/>
    </xf>
    <xf numFmtId="49" fontId="9" fillId="6" borderId="92" xfId="0" applyNumberFormat="1" applyFont="1" applyFill="1" applyBorder="1" applyAlignment="1">
      <alignment horizontal="center" vertical="center" wrapText="1"/>
    </xf>
    <xf numFmtId="49" fontId="9" fillId="6" borderId="93" xfId="0" applyNumberFormat="1" applyFont="1" applyFill="1" applyBorder="1" applyAlignment="1">
      <alignment horizontal="center" vertical="center" wrapText="1"/>
    </xf>
    <xf numFmtId="49" fontId="9" fillId="6" borderId="98" xfId="0" applyNumberFormat="1" applyFont="1" applyFill="1" applyBorder="1" applyAlignment="1">
      <alignment horizontal="center" vertical="center" wrapText="1"/>
    </xf>
    <xf numFmtId="49" fontId="9" fillId="6" borderId="72" xfId="0" applyNumberFormat="1" applyFont="1" applyFill="1" applyBorder="1" applyAlignment="1">
      <alignment horizontal="center" vertical="center" wrapText="1"/>
    </xf>
    <xf numFmtId="49" fontId="9" fillId="6" borderId="99" xfId="0" applyNumberFormat="1" applyFont="1" applyFill="1" applyBorder="1" applyAlignment="1">
      <alignment horizontal="center" vertical="center" wrapText="1"/>
    </xf>
    <xf numFmtId="49" fontId="9" fillId="6" borderId="97" xfId="0" applyNumberFormat="1" applyFont="1" applyFill="1" applyBorder="1" applyAlignment="1">
      <alignment horizontal="center" vertical="center" textRotation="90" wrapText="1"/>
    </xf>
    <xf numFmtId="49" fontId="9" fillId="6" borderId="19" xfId="0" applyNumberFormat="1" applyFont="1" applyFill="1" applyBorder="1" applyAlignment="1">
      <alignment horizontal="center" vertical="center" textRotation="90" wrapText="1"/>
    </xf>
    <xf numFmtId="0" fontId="9" fillId="6" borderId="12" xfId="0" applyFont="1" applyFill="1" applyBorder="1" applyAlignment="1">
      <alignment horizontal="center" vertical="center" textRotation="90" wrapText="1"/>
    </xf>
    <xf numFmtId="0" fontId="9" fillId="6" borderId="19" xfId="0" applyFont="1" applyFill="1" applyBorder="1" applyAlignment="1">
      <alignment horizontal="center" vertical="center" textRotation="90" wrapText="1"/>
    </xf>
    <xf numFmtId="0" fontId="37" fillId="0" borderId="90" xfId="0" applyFont="1" applyBorder="1" applyAlignment="1">
      <alignment horizontal="center" vertical="center"/>
    </xf>
    <xf numFmtId="49" fontId="9" fillId="6" borderId="67" xfId="0" applyNumberFormat="1" applyFont="1" applyFill="1" applyBorder="1" applyAlignment="1">
      <alignment horizontal="center" vertical="center" wrapText="1"/>
    </xf>
    <xf numFmtId="49" fontId="9" fillId="6" borderId="68" xfId="0" applyNumberFormat="1" applyFont="1" applyFill="1" applyBorder="1" applyAlignment="1">
      <alignment horizontal="center" vertical="center" wrapText="1"/>
    </xf>
    <xf numFmtId="49" fontId="9" fillId="6" borderId="89" xfId="0" applyNumberFormat="1" applyFont="1" applyFill="1" applyBorder="1" applyAlignment="1">
      <alignment horizontal="center" vertical="center" textRotation="90" wrapText="1"/>
    </xf>
    <xf numFmtId="49" fontId="9" fillId="6" borderId="2" xfId="0" applyNumberFormat="1" applyFont="1" applyFill="1" applyBorder="1" applyAlignment="1">
      <alignment horizontal="center" vertical="center" textRotation="90" wrapText="1"/>
    </xf>
    <xf numFmtId="0" fontId="37" fillId="0" borderId="86" xfId="0" applyFont="1" applyBorder="1" applyAlignment="1">
      <alignment horizontal="center" vertical="center"/>
    </xf>
    <xf numFmtId="0" fontId="37" fillId="0" borderId="87" xfId="0" applyFont="1" applyBorder="1" applyAlignment="1">
      <alignment horizontal="center" vertical="center"/>
    </xf>
    <xf numFmtId="0" fontId="37" fillId="0" borderId="88" xfId="0" applyFont="1" applyBorder="1" applyAlignment="1">
      <alignment horizontal="center" vertical="center"/>
    </xf>
    <xf numFmtId="3" fontId="11" fillId="0" borderId="74" xfId="0" quotePrefix="1" applyNumberFormat="1" applyFont="1" applyBorder="1" applyAlignment="1">
      <alignment horizontal="left"/>
    </xf>
    <xf numFmtId="3" fontId="11" fillId="0" borderId="74" xfId="0" quotePrefix="1" applyNumberFormat="1" applyFont="1" applyBorder="1"/>
    <xf numFmtId="4" fontId="44" fillId="0" borderId="38" xfId="12" applyNumberFormat="1" applyFont="1" applyBorder="1" applyAlignment="1" applyProtection="1">
      <alignment shrinkToFit="1"/>
    </xf>
    <xf numFmtId="4" fontId="44" fillId="0" borderId="37" xfId="12" applyNumberFormat="1" applyFont="1" applyBorder="1" applyAlignment="1" applyProtection="1">
      <alignment shrinkToFit="1"/>
    </xf>
    <xf numFmtId="4" fontId="44" fillId="0" borderId="66" xfId="12" applyNumberFormat="1" applyFont="1" applyBorder="1" applyAlignment="1" applyProtection="1">
      <alignment horizontal="center" wrapText="1"/>
    </xf>
    <xf numFmtId="4" fontId="44" fillId="0" borderId="67" xfId="12" applyNumberFormat="1" applyFont="1" applyBorder="1" applyAlignment="1" applyProtection="1">
      <alignment horizontal="center" wrapText="1"/>
    </xf>
    <xf numFmtId="4" fontId="44" fillId="0" borderId="68" xfId="12" applyNumberFormat="1" applyFont="1" applyBorder="1" applyAlignment="1" applyProtection="1">
      <alignment horizontal="center" wrapText="1"/>
    </xf>
    <xf numFmtId="3" fontId="62" fillId="0" borderId="0" xfId="0" applyNumberFormat="1" applyFont="1" applyAlignment="1">
      <alignment vertical="center"/>
    </xf>
  </cellXfs>
  <cellStyles count="15">
    <cellStyle name="Comma" xfId="1" builtinId="3"/>
    <cellStyle name="Comma 2" xfId="2" xr:uid="{00000000-0005-0000-0000-000001000000}"/>
    <cellStyle name="Currency" xfId="3" builtinId="4"/>
    <cellStyle name="Currency 2" xfId="4" xr:uid="{00000000-0005-0000-0000-000003000000}"/>
    <cellStyle name="Currency 2 2" xfId="12" xr:uid="{07C944BC-BA9A-4890-A647-A8B367D95F54}"/>
    <cellStyle name="Currency 4 4" xfId="10" xr:uid="{00000000-0005-0000-0000-000004000000}"/>
    <cellStyle name="Normal" xfId="0" builtinId="0"/>
    <cellStyle name="Normal 10 10" xfId="9" xr:uid="{00000000-0005-0000-0000-000006000000}"/>
    <cellStyle name="Normal 10 3" xfId="11" xr:uid="{00000000-0005-0000-0000-000007000000}"/>
    <cellStyle name="Normal 2" xfId="5" xr:uid="{00000000-0005-0000-0000-000008000000}"/>
    <cellStyle name="Normal 3" xfId="13" xr:uid="{2CA9ACCA-E2D9-4ABD-B9C3-455AF9CB40EC}"/>
    <cellStyle name="Normal_Book2" xfId="6" xr:uid="{00000000-0005-0000-0000-000009000000}"/>
    <cellStyle name="Normal_DesertSchA9900" xfId="7" xr:uid="{00000000-0005-0000-0000-00000A000000}"/>
    <cellStyle name="Percent" xfId="8" builtinId="5"/>
    <cellStyle name="Percent 2" xfId="14" xr:uid="{0E652E5A-DD92-4B49-AB5D-02A1B0DA0041}"/>
  </cellStyles>
  <dxfs count="1">
    <dxf>
      <font>
        <color rgb="FFFF0000"/>
      </font>
      <fill>
        <patternFill>
          <bgColor rgb="FFFFC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B8FBB8"/>
      <rgbColor rgb="00A8F033"/>
      <rgbColor rgb="007CD5AD"/>
      <rgbColor rgb="00F8D7AD"/>
      <rgbColor rgb="0094DD34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77777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133350</xdr:rowOff>
    </xdr:from>
    <xdr:to>
      <xdr:col>5</xdr:col>
      <xdr:colOff>63712</xdr:colOff>
      <xdr:row>8</xdr:row>
      <xdr:rowOff>19748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D088F0-E7EE-4F6A-95D8-594327EA0ABC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33350"/>
          <a:ext cx="2279862" cy="11563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403915</xdr:colOff>
      <xdr:row>2</xdr:row>
      <xdr:rowOff>87520</xdr:rowOff>
    </xdr:from>
    <xdr:to>
      <xdr:col>11</xdr:col>
      <xdr:colOff>281610</xdr:colOff>
      <xdr:row>6</xdr:row>
      <xdr:rowOff>69418</xdr:rowOff>
    </xdr:to>
    <xdr:sp macro="" textlink="">
      <xdr:nvSpPr>
        <xdr:cNvPr id="3" name="TextBox 13">
          <a:extLst>
            <a:ext uri="{FF2B5EF4-FFF2-40B4-BE49-F238E27FC236}">
              <a16:creationId xmlns:a16="http://schemas.microsoft.com/office/drawing/2014/main" id="{DAD48008-297A-41AA-9ADD-28A35D2C65FF}"/>
            </a:ext>
          </a:extLst>
        </xdr:cNvPr>
        <xdr:cNvSpPr txBox="1"/>
      </xdr:nvSpPr>
      <xdr:spPr>
        <a:xfrm>
          <a:off x="2540828" y="418824"/>
          <a:ext cx="4168086" cy="644507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Behavioral Health</a:t>
          </a:r>
        </a:p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Provider Support and Accounting Services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133350</xdr:rowOff>
    </xdr:from>
    <xdr:to>
      <xdr:col>4</xdr:col>
      <xdr:colOff>371687</xdr:colOff>
      <xdr:row>8</xdr:row>
      <xdr:rowOff>19748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D21730-1557-4C22-9152-94D80D38F371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33350"/>
          <a:ext cx="2286212" cy="1181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403915</xdr:colOff>
      <xdr:row>2</xdr:row>
      <xdr:rowOff>87520</xdr:rowOff>
    </xdr:from>
    <xdr:to>
      <xdr:col>11</xdr:col>
      <xdr:colOff>281610</xdr:colOff>
      <xdr:row>6</xdr:row>
      <xdr:rowOff>69418</xdr:rowOff>
    </xdr:to>
    <xdr:sp macro="" textlink="">
      <xdr:nvSpPr>
        <xdr:cNvPr id="3" name="TextBox 13">
          <a:extLst>
            <a:ext uri="{FF2B5EF4-FFF2-40B4-BE49-F238E27FC236}">
              <a16:creationId xmlns:a16="http://schemas.microsoft.com/office/drawing/2014/main" id="{58E12B97-4E90-4EDF-A813-8F527029664F}"/>
            </a:ext>
          </a:extLst>
        </xdr:cNvPr>
        <xdr:cNvSpPr txBox="1"/>
      </xdr:nvSpPr>
      <xdr:spPr>
        <a:xfrm>
          <a:off x="2531165" y="408195"/>
          <a:ext cx="4138545" cy="62959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Behavioral Health</a:t>
          </a:r>
        </a:p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Provider Support and Accounting Services</a:t>
          </a:r>
        </a:p>
      </xdr:txBody>
    </xdr:sp>
    <xdr:clientData/>
  </xdr:twoCellAnchor>
  <xdr:twoCellAnchor editAs="oneCell">
    <xdr:from>
      <xdr:col>0</xdr:col>
      <xdr:colOff>209550</xdr:colOff>
      <xdr:row>0</xdr:row>
      <xdr:rowOff>133350</xdr:rowOff>
    </xdr:from>
    <xdr:to>
      <xdr:col>4</xdr:col>
      <xdr:colOff>368512</xdr:colOff>
      <xdr:row>8</xdr:row>
      <xdr:rowOff>19748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B213A67-4986-44F6-B8B3-AD15681F7798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33350"/>
          <a:ext cx="2263987" cy="1181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403915</xdr:colOff>
      <xdr:row>2</xdr:row>
      <xdr:rowOff>87520</xdr:rowOff>
    </xdr:from>
    <xdr:to>
      <xdr:col>11</xdr:col>
      <xdr:colOff>281610</xdr:colOff>
      <xdr:row>6</xdr:row>
      <xdr:rowOff>69418</xdr:rowOff>
    </xdr:to>
    <xdr:sp macro="" textlink="">
      <xdr:nvSpPr>
        <xdr:cNvPr id="5" name="TextBox 13">
          <a:extLst>
            <a:ext uri="{FF2B5EF4-FFF2-40B4-BE49-F238E27FC236}">
              <a16:creationId xmlns:a16="http://schemas.microsoft.com/office/drawing/2014/main" id="{B3D54363-B1B9-4A40-950F-F8EEAA4F7A7D}"/>
            </a:ext>
          </a:extLst>
        </xdr:cNvPr>
        <xdr:cNvSpPr txBox="1"/>
      </xdr:nvSpPr>
      <xdr:spPr>
        <a:xfrm>
          <a:off x="2508940" y="411370"/>
          <a:ext cx="4144895" cy="62959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Behavioral Health</a:t>
          </a:r>
        </a:p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Provider Support and Accounting Services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133350</xdr:rowOff>
    </xdr:from>
    <xdr:to>
      <xdr:col>4</xdr:col>
      <xdr:colOff>371687</xdr:colOff>
      <xdr:row>8</xdr:row>
      <xdr:rowOff>19748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FABC20-507F-4E69-A548-8F14EE09AB28}"/>
            </a:ext>
          </a:extLst>
        </xdr:cNvPr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33350"/>
          <a:ext cx="2286212" cy="1181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403915</xdr:colOff>
      <xdr:row>2</xdr:row>
      <xdr:rowOff>87520</xdr:rowOff>
    </xdr:from>
    <xdr:to>
      <xdr:col>11</xdr:col>
      <xdr:colOff>281610</xdr:colOff>
      <xdr:row>6</xdr:row>
      <xdr:rowOff>69418</xdr:rowOff>
    </xdr:to>
    <xdr:sp macro="" textlink="">
      <xdr:nvSpPr>
        <xdr:cNvPr id="3" name="TextBox 13">
          <a:extLst>
            <a:ext uri="{FF2B5EF4-FFF2-40B4-BE49-F238E27FC236}">
              <a16:creationId xmlns:a16="http://schemas.microsoft.com/office/drawing/2014/main" id="{BE738EEB-3FE5-4C95-83B0-307C8CD023A6}"/>
            </a:ext>
          </a:extLst>
        </xdr:cNvPr>
        <xdr:cNvSpPr txBox="1"/>
      </xdr:nvSpPr>
      <xdr:spPr>
        <a:xfrm>
          <a:off x="2531165" y="408195"/>
          <a:ext cx="4138545" cy="629598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Behavioral Health</a:t>
          </a:r>
        </a:p>
        <a:p>
          <a:r>
            <a:rPr lang="en-US">
              <a:solidFill>
                <a:srgbClr val="1F1B77"/>
              </a:solidFill>
              <a:latin typeface="Times New Roman MT Extra Bold" panose="02020A06060301020303" pitchFamily="18" charset="0"/>
            </a:rPr>
            <a:t>Provider Support and Accounting Services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Hougen, Timothy DBH" id="{C204EF36-4FAC-43AC-B30E-A09119B591BA}" userId="S::thougen@dbh.sbcounty.gov::bee3f767-8a5c-47b9-9eb1-98fee02caa95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T30" dT="2025-10-08T16:23:11.63" personId="{C204EF36-4FAC-43AC-B30E-A09119B591BA}" id="{4719DA4B-D36C-4D5E-BE86-72D06CA138ED}">
    <text>This calculation provides an easy visual for portion of overall contract going to staffing costs.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9B397-7777-48D6-A936-FECEEB9DC4E5}">
  <sheetPr>
    <pageSetUpPr fitToPage="1"/>
  </sheetPr>
  <dimension ref="A12:D86"/>
  <sheetViews>
    <sheetView tabSelected="1" zoomScale="85" zoomScaleNormal="85" workbookViewId="0">
      <selection activeCell="F24" sqref="F24"/>
    </sheetView>
  </sheetViews>
  <sheetFormatPr defaultRowHeight="12.5"/>
  <cols>
    <col min="2" max="2" width="4.1796875" customWidth="1"/>
    <col min="3" max="3" width="4.453125" customWidth="1"/>
  </cols>
  <sheetData>
    <row r="12" spans="1:1" ht="15.5">
      <c r="A12" s="238" t="s">
        <v>185</v>
      </c>
    </row>
    <row r="14" spans="1:1" ht="15.5">
      <c r="A14" s="238" t="s">
        <v>186</v>
      </c>
    </row>
    <row r="16" spans="1:1" ht="13">
      <c r="A16" s="172" t="s">
        <v>187</v>
      </c>
    </row>
    <row r="17" spans="1:3">
      <c r="A17">
        <v>1</v>
      </c>
      <c r="B17" s="35" t="s">
        <v>188</v>
      </c>
    </row>
    <row r="18" spans="1:3">
      <c r="C18" s="35" t="s">
        <v>189</v>
      </c>
    </row>
    <row r="19" spans="1:3">
      <c r="A19">
        <v>2</v>
      </c>
      <c r="B19" s="35" t="s">
        <v>190</v>
      </c>
    </row>
    <row r="20" spans="1:3">
      <c r="C20" s="35" t="s">
        <v>191</v>
      </c>
    </row>
    <row r="21" spans="1:3">
      <c r="C21" s="35" t="s">
        <v>192</v>
      </c>
    </row>
    <row r="22" spans="1:3">
      <c r="C22" s="35" t="s">
        <v>193</v>
      </c>
    </row>
    <row r="23" spans="1:3">
      <c r="A23">
        <v>3</v>
      </c>
      <c r="B23" s="35" t="s">
        <v>432</v>
      </c>
      <c r="C23" s="35"/>
    </row>
    <row r="24" spans="1:3">
      <c r="A24">
        <v>4</v>
      </c>
      <c r="B24" s="35" t="s">
        <v>194</v>
      </c>
    </row>
    <row r="25" spans="1:3">
      <c r="C25" s="35" t="s">
        <v>195</v>
      </c>
    </row>
    <row r="26" spans="1:3">
      <c r="C26" s="35" t="s">
        <v>196</v>
      </c>
    </row>
    <row r="27" spans="1:3">
      <c r="A27">
        <v>5</v>
      </c>
      <c r="B27" s="35" t="s">
        <v>197</v>
      </c>
    </row>
    <row r="29" spans="1:3" ht="13">
      <c r="A29" s="172" t="s">
        <v>259</v>
      </c>
    </row>
    <row r="30" spans="1:3">
      <c r="A30">
        <v>1</v>
      </c>
      <c r="B30" s="35" t="s">
        <v>198</v>
      </c>
    </row>
    <row r="31" spans="1:3">
      <c r="B31" s="35"/>
      <c r="C31" s="35" t="s">
        <v>199</v>
      </c>
    </row>
    <row r="32" spans="1:3">
      <c r="A32">
        <v>2</v>
      </c>
      <c r="B32" s="35" t="s">
        <v>200</v>
      </c>
    </row>
    <row r="33" spans="1:4">
      <c r="B33" s="35"/>
      <c r="C33" t="s">
        <v>428</v>
      </c>
    </row>
    <row r="34" spans="1:4">
      <c r="A34">
        <v>3</v>
      </c>
      <c r="B34" s="35" t="s">
        <v>407</v>
      </c>
    </row>
    <row r="35" spans="1:4">
      <c r="B35" s="35"/>
      <c r="C35" t="s">
        <v>419</v>
      </c>
    </row>
    <row r="36" spans="1:4">
      <c r="A36">
        <v>4</v>
      </c>
      <c r="B36" s="35" t="s">
        <v>343</v>
      </c>
    </row>
    <row r="37" spans="1:4">
      <c r="C37" s="35" t="s">
        <v>396</v>
      </c>
    </row>
    <row r="38" spans="1:4">
      <c r="C38" s="35" t="s">
        <v>381</v>
      </c>
    </row>
    <row r="39" spans="1:4">
      <c r="C39" s="35" t="s">
        <v>382</v>
      </c>
    </row>
    <row r="40" spans="1:4">
      <c r="C40" s="35" t="s">
        <v>418</v>
      </c>
    </row>
    <row r="41" spans="1:4">
      <c r="C41" s="35"/>
      <c r="D41" t="s">
        <v>406</v>
      </c>
    </row>
    <row r="42" spans="1:4">
      <c r="D42" s="35" t="s">
        <v>405</v>
      </c>
    </row>
    <row r="43" spans="1:4">
      <c r="C43" s="35" t="s">
        <v>203</v>
      </c>
    </row>
    <row r="44" spans="1:4">
      <c r="A44">
        <v>5</v>
      </c>
      <c r="B44" s="35" t="s">
        <v>211</v>
      </c>
    </row>
    <row r="45" spans="1:4">
      <c r="B45" s="35"/>
      <c r="C45" s="35" t="s">
        <v>212</v>
      </c>
    </row>
    <row r="46" spans="1:4">
      <c r="C46" s="35" t="s">
        <v>213</v>
      </c>
    </row>
    <row r="47" spans="1:4">
      <c r="C47" s="35" t="s">
        <v>214</v>
      </c>
    </row>
    <row r="48" spans="1:4" ht="13" hidden="1">
      <c r="A48" s="172" t="s">
        <v>260</v>
      </c>
    </row>
    <row r="49" spans="1:3" hidden="1">
      <c r="A49">
        <v>1</v>
      </c>
      <c r="B49" s="35" t="s">
        <v>388</v>
      </c>
    </row>
    <row r="50" spans="1:3" hidden="1">
      <c r="B50" s="35"/>
      <c r="C50" s="35" t="s">
        <v>199</v>
      </c>
    </row>
    <row r="51" spans="1:3" hidden="1">
      <c r="A51">
        <v>2</v>
      </c>
      <c r="B51" s="35" t="s">
        <v>200</v>
      </c>
    </row>
    <row r="52" spans="1:3" hidden="1">
      <c r="A52">
        <v>3</v>
      </c>
      <c r="B52" s="35" t="s">
        <v>201</v>
      </c>
    </row>
    <row r="53" spans="1:3" hidden="1">
      <c r="A53">
        <v>4</v>
      </c>
      <c r="B53" s="35" t="s">
        <v>283</v>
      </c>
    </row>
    <row r="54" spans="1:3" hidden="1">
      <c r="C54" s="35" t="s">
        <v>202</v>
      </c>
    </row>
    <row r="55" spans="1:3" hidden="1">
      <c r="C55" s="35" t="s">
        <v>289</v>
      </c>
    </row>
    <row r="56" spans="1:3" hidden="1">
      <c r="C56" s="35" t="s">
        <v>203</v>
      </c>
    </row>
    <row r="57" spans="1:3" hidden="1">
      <c r="A57">
        <v>5</v>
      </c>
      <c r="B57" s="35" t="s">
        <v>204</v>
      </c>
    </row>
    <row r="58" spans="1:3" hidden="1">
      <c r="C58" s="35" t="s">
        <v>205</v>
      </c>
    </row>
    <row r="59" spans="1:3" hidden="1">
      <c r="C59" s="35" t="s">
        <v>206</v>
      </c>
    </row>
    <row r="60" spans="1:3" hidden="1">
      <c r="C60" s="35" t="s">
        <v>207</v>
      </c>
    </row>
    <row r="61" spans="1:3" hidden="1">
      <c r="A61">
        <v>6</v>
      </c>
      <c r="B61" s="35" t="s">
        <v>208</v>
      </c>
    </row>
    <row r="62" spans="1:3" hidden="1">
      <c r="C62" s="35" t="s">
        <v>209</v>
      </c>
    </row>
    <row r="63" spans="1:3" hidden="1">
      <c r="C63" s="35" t="s">
        <v>210</v>
      </c>
    </row>
    <row r="64" spans="1:3" hidden="1">
      <c r="A64">
        <v>7</v>
      </c>
      <c r="B64" s="35" t="s">
        <v>211</v>
      </c>
    </row>
    <row r="65" spans="1:3" hidden="1">
      <c r="B65" s="35"/>
      <c r="C65" s="35" t="s">
        <v>212</v>
      </c>
    </row>
    <row r="66" spans="1:3" hidden="1">
      <c r="C66" s="35" t="s">
        <v>213</v>
      </c>
    </row>
    <row r="67" spans="1:3" hidden="1">
      <c r="C67" s="35" t="s">
        <v>214</v>
      </c>
    </row>
    <row r="68" spans="1:3" hidden="1"/>
    <row r="69" spans="1:3" ht="13" hidden="1">
      <c r="A69" s="172" t="s">
        <v>215</v>
      </c>
    </row>
    <row r="70" spans="1:3" hidden="1">
      <c r="A70">
        <v>1</v>
      </c>
      <c r="B70" s="35" t="s">
        <v>290</v>
      </c>
    </row>
    <row r="71" spans="1:3" hidden="1">
      <c r="A71">
        <v>2</v>
      </c>
      <c r="B71" s="35" t="s">
        <v>216</v>
      </c>
    </row>
    <row r="72" spans="1:3" hidden="1">
      <c r="A72">
        <v>3</v>
      </c>
      <c r="B72" s="35" t="s">
        <v>217</v>
      </c>
    </row>
    <row r="73" spans="1:3" hidden="1">
      <c r="A73">
        <v>4</v>
      </c>
      <c r="B73" s="35" t="s">
        <v>218</v>
      </c>
    </row>
    <row r="74" spans="1:3" hidden="1"/>
    <row r="75" spans="1:3" ht="13" hidden="1">
      <c r="A75" s="172" t="s">
        <v>219</v>
      </c>
    </row>
    <row r="76" spans="1:3" hidden="1">
      <c r="A76">
        <v>1</v>
      </c>
      <c r="B76" s="35" t="s">
        <v>220</v>
      </c>
    </row>
    <row r="78" spans="1:3" ht="13">
      <c r="A78" s="172" t="s">
        <v>305</v>
      </c>
    </row>
    <row r="79" spans="1:3">
      <c r="A79">
        <v>1</v>
      </c>
      <c r="B79" s="35" t="s">
        <v>221</v>
      </c>
    </row>
    <row r="80" spans="1:3">
      <c r="A80">
        <v>2</v>
      </c>
      <c r="B80" s="35" t="s">
        <v>291</v>
      </c>
    </row>
    <row r="81" spans="1:3">
      <c r="B81" s="35" t="s">
        <v>222</v>
      </c>
    </row>
    <row r="82" spans="1:3">
      <c r="A82">
        <v>3</v>
      </c>
      <c r="B82" s="35" t="s">
        <v>223</v>
      </c>
    </row>
    <row r="83" spans="1:3">
      <c r="B83" s="218"/>
      <c r="C83" t="s">
        <v>224</v>
      </c>
    </row>
    <row r="85" spans="1:3" ht="13">
      <c r="A85" s="172" t="s">
        <v>225</v>
      </c>
    </row>
    <row r="86" spans="1:3">
      <c r="A86">
        <v>1</v>
      </c>
      <c r="B86" s="35" t="s">
        <v>226</v>
      </c>
    </row>
  </sheetData>
  <sheetProtection algorithmName="SHA-512" hashValue="rQE/RuZ73zWYP331WVS8sFKe/CAsmuCHwQnC309gs/UYJFxPh6ti9ebpJhgIfwj35fnq4x1/6zKTWJ5YCedJfA==" saltValue="hqJvUI5Bq1fK4sIHlKvhtw==" spinCount="100000" sheet="1" selectLockedCells="1"/>
  <pageMargins left="0.7" right="0.7" top="0.75" bottom="0.75" header="0.3" footer="0.3"/>
  <pageSetup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F950-D4F3-4CF9-91D6-864F4022FA1D}">
  <sheetPr>
    <pageSetUpPr fitToPage="1"/>
  </sheetPr>
  <dimension ref="A12:D145"/>
  <sheetViews>
    <sheetView workbookViewId="0"/>
  </sheetViews>
  <sheetFormatPr defaultRowHeight="12.5"/>
  <cols>
    <col min="2" max="2" width="4.1796875" customWidth="1"/>
  </cols>
  <sheetData>
    <row r="12" spans="1:1" ht="15.5">
      <c r="A12" s="238" t="s">
        <v>323</v>
      </c>
    </row>
    <row r="14" spans="1:1" ht="13">
      <c r="A14" s="172" t="s">
        <v>327</v>
      </c>
    </row>
    <row r="15" spans="1:1" ht="13">
      <c r="A15" s="172" t="s">
        <v>387</v>
      </c>
    </row>
    <row r="16" spans="1:1" ht="13">
      <c r="A16" s="172" t="s">
        <v>385</v>
      </c>
    </row>
    <row r="17" spans="1:3" ht="13">
      <c r="A17" s="172"/>
    </row>
    <row r="19" spans="1:3" ht="13">
      <c r="A19" s="172" t="s">
        <v>187</v>
      </c>
    </row>
    <row r="20" spans="1:3" ht="13">
      <c r="A20" s="172"/>
      <c r="B20" s="172" t="s">
        <v>337</v>
      </c>
    </row>
    <row r="21" spans="1:3">
      <c r="A21">
        <v>1</v>
      </c>
      <c r="B21" s="35" t="s">
        <v>314</v>
      </c>
    </row>
    <row r="22" spans="1:3">
      <c r="C22" s="35" t="s">
        <v>315</v>
      </c>
    </row>
    <row r="23" spans="1:3">
      <c r="C23" s="35" t="s">
        <v>364</v>
      </c>
    </row>
    <row r="24" spans="1:3">
      <c r="A24">
        <v>2</v>
      </c>
      <c r="B24" s="35" t="s">
        <v>324</v>
      </c>
      <c r="C24" s="35"/>
    </row>
    <row r="25" spans="1:3">
      <c r="C25" s="35" t="s">
        <v>325</v>
      </c>
    </row>
    <row r="26" spans="1:3">
      <c r="C26" s="35" t="s">
        <v>326</v>
      </c>
    </row>
    <row r="27" spans="1:3">
      <c r="A27">
        <v>3</v>
      </c>
      <c r="B27" s="35" t="s">
        <v>319</v>
      </c>
    </row>
    <row r="28" spans="1:3">
      <c r="C28" s="35" t="s">
        <v>335</v>
      </c>
    </row>
    <row r="29" spans="1:3">
      <c r="A29">
        <v>4</v>
      </c>
      <c r="B29" s="35" t="s">
        <v>317</v>
      </c>
    </row>
    <row r="30" spans="1:3">
      <c r="C30" s="35" t="s">
        <v>316</v>
      </c>
    </row>
    <row r="31" spans="1:3">
      <c r="C31" s="35" t="s">
        <v>318</v>
      </c>
    </row>
    <row r="32" spans="1:3">
      <c r="A32">
        <v>5</v>
      </c>
      <c r="B32" s="35" t="s">
        <v>322</v>
      </c>
    </row>
    <row r="33" spans="1:4">
      <c r="A33">
        <v>6</v>
      </c>
      <c r="B33" s="35" t="s">
        <v>333</v>
      </c>
    </row>
    <row r="34" spans="1:4">
      <c r="B34" s="35"/>
    </row>
    <row r="35" spans="1:4" ht="13">
      <c r="B35" s="172" t="s">
        <v>334</v>
      </c>
    </row>
    <row r="36" spans="1:4">
      <c r="A36">
        <v>1</v>
      </c>
      <c r="B36" s="35" t="s">
        <v>386</v>
      </c>
    </row>
    <row r="37" spans="1:4">
      <c r="A37">
        <v>2</v>
      </c>
      <c r="B37" s="35" t="s">
        <v>319</v>
      </c>
    </row>
    <row r="38" spans="1:4">
      <c r="C38" s="35" t="s">
        <v>320</v>
      </c>
    </row>
    <row r="39" spans="1:4">
      <c r="B39" s="35"/>
      <c r="D39" s="35" t="s">
        <v>321</v>
      </c>
    </row>
    <row r="40" spans="1:4">
      <c r="A40">
        <v>3</v>
      </c>
      <c r="B40" s="35" t="s">
        <v>317</v>
      </c>
    </row>
    <row r="41" spans="1:4">
      <c r="B41" s="35"/>
      <c r="C41" s="35" t="s">
        <v>336</v>
      </c>
    </row>
    <row r="42" spans="1:4">
      <c r="B42" s="35"/>
    </row>
    <row r="43" spans="1:4" ht="13.5" customHeight="1">
      <c r="B43" s="35"/>
    </row>
    <row r="44" spans="1:4" ht="13">
      <c r="A44" s="172" t="s">
        <v>344</v>
      </c>
      <c r="B44" s="172"/>
    </row>
    <row r="45" spans="1:4" ht="13">
      <c r="A45" s="172"/>
      <c r="B45" s="172" t="s">
        <v>337</v>
      </c>
    </row>
    <row r="46" spans="1:4">
      <c r="A46">
        <v>1</v>
      </c>
      <c r="B46" s="35" t="s">
        <v>328</v>
      </c>
    </row>
    <row r="47" spans="1:4">
      <c r="C47" s="35" t="s">
        <v>338</v>
      </c>
    </row>
    <row r="48" spans="1:4">
      <c r="C48" s="35" t="s">
        <v>339</v>
      </c>
    </row>
    <row r="49" spans="1:3">
      <c r="A49">
        <v>2</v>
      </c>
      <c r="B49" s="35" t="s">
        <v>333</v>
      </c>
    </row>
    <row r="50" spans="1:3">
      <c r="B50" s="35"/>
    </row>
    <row r="51" spans="1:3" ht="13">
      <c r="B51" s="172" t="s">
        <v>334</v>
      </c>
    </row>
    <row r="52" spans="1:3">
      <c r="A52">
        <v>1</v>
      </c>
      <c r="B52" s="35" t="s">
        <v>349</v>
      </c>
      <c r="C52" s="35"/>
    </row>
    <row r="53" spans="1:3">
      <c r="B53" s="35"/>
      <c r="C53" s="35" t="s">
        <v>347</v>
      </c>
    </row>
    <row r="54" spans="1:3">
      <c r="C54" s="35" t="s">
        <v>348</v>
      </c>
    </row>
    <row r="55" spans="1:3">
      <c r="C55" t="s">
        <v>340</v>
      </c>
    </row>
    <row r="56" spans="1:3">
      <c r="C56" s="35" t="s">
        <v>345</v>
      </c>
    </row>
    <row r="57" spans="1:3">
      <c r="B57" s="35"/>
      <c r="C57" s="35" t="s">
        <v>346</v>
      </c>
    </row>
    <row r="58" spans="1:3">
      <c r="C58" s="35" t="s">
        <v>350</v>
      </c>
    </row>
    <row r="59" spans="1:3">
      <c r="C59" s="35" t="s">
        <v>351</v>
      </c>
    </row>
    <row r="60" spans="1:3">
      <c r="C60" s="35"/>
    </row>
    <row r="61" spans="1:3" ht="13">
      <c r="A61" s="172" t="s">
        <v>308</v>
      </c>
      <c r="B61" s="172"/>
    </row>
    <row r="62" spans="1:3" ht="13">
      <c r="A62" s="172"/>
      <c r="B62" s="172" t="s">
        <v>337</v>
      </c>
    </row>
    <row r="63" spans="1:3">
      <c r="A63">
        <v>1</v>
      </c>
      <c r="B63" s="35" t="s">
        <v>328</v>
      </c>
    </row>
    <row r="64" spans="1:3">
      <c r="C64" s="35" t="s">
        <v>338</v>
      </c>
    </row>
    <row r="65" spans="1:3">
      <c r="C65" s="35" t="s">
        <v>339</v>
      </c>
    </row>
    <row r="66" spans="1:3">
      <c r="B66" s="35" t="s">
        <v>333</v>
      </c>
    </row>
    <row r="67" spans="1:3">
      <c r="B67" s="35"/>
    </row>
    <row r="68" spans="1:3" ht="13">
      <c r="B68" s="172" t="s">
        <v>334</v>
      </c>
    </row>
    <row r="69" spans="1:3">
      <c r="A69">
        <v>1</v>
      </c>
      <c r="B69" s="35" t="s">
        <v>349</v>
      </c>
      <c r="C69" s="35"/>
    </row>
    <row r="70" spans="1:3">
      <c r="B70" s="35"/>
      <c r="C70" s="35" t="s">
        <v>347</v>
      </c>
    </row>
    <row r="71" spans="1:3">
      <c r="C71" s="35" t="s">
        <v>352</v>
      </c>
    </row>
    <row r="72" spans="1:3">
      <c r="C72" t="s">
        <v>340</v>
      </c>
    </row>
    <row r="73" spans="1:3">
      <c r="B73" s="35"/>
      <c r="C73" s="35" t="s">
        <v>353</v>
      </c>
    </row>
    <row r="74" spans="1:3">
      <c r="C74" s="35" t="s">
        <v>350</v>
      </c>
    </row>
    <row r="75" spans="1:3">
      <c r="C75" s="35" t="s">
        <v>351</v>
      </c>
    </row>
    <row r="76" spans="1:3">
      <c r="C76" s="35"/>
    </row>
    <row r="77" spans="1:3" ht="13">
      <c r="A77" s="172" t="s">
        <v>215</v>
      </c>
    </row>
    <row r="78" spans="1:3" ht="13">
      <c r="B78" s="172" t="s">
        <v>337</v>
      </c>
    </row>
    <row r="79" spans="1:3">
      <c r="A79">
        <v>1</v>
      </c>
      <c r="B79" s="35" t="s">
        <v>354</v>
      </c>
    </row>
    <row r="80" spans="1:3">
      <c r="A80">
        <v>2</v>
      </c>
      <c r="B80" s="35" t="s">
        <v>356</v>
      </c>
    </row>
    <row r="81" spans="1:2">
      <c r="B81" s="35" t="s">
        <v>333</v>
      </c>
    </row>
    <row r="82" spans="1:2">
      <c r="B82" s="35"/>
    </row>
    <row r="83" spans="1:2" ht="13">
      <c r="B83" s="172" t="s">
        <v>334</v>
      </c>
    </row>
    <row r="84" spans="1:2">
      <c r="A84">
        <v>1</v>
      </c>
      <c r="B84" s="35" t="s">
        <v>357</v>
      </c>
    </row>
    <row r="85" spans="1:2">
      <c r="A85">
        <v>2</v>
      </c>
      <c r="B85" s="35" t="s">
        <v>421</v>
      </c>
    </row>
    <row r="86" spans="1:2">
      <c r="B86" s="35"/>
    </row>
    <row r="87" spans="1:2" ht="13">
      <c r="A87" s="172" t="s">
        <v>219</v>
      </c>
      <c r="B87" s="35"/>
    </row>
    <row r="88" spans="1:2" ht="13">
      <c r="A88" s="172"/>
      <c r="B88" s="172" t="s">
        <v>337</v>
      </c>
    </row>
    <row r="89" spans="1:2">
      <c r="A89">
        <v>1</v>
      </c>
      <c r="B89" s="35" t="s">
        <v>354</v>
      </c>
    </row>
    <row r="90" spans="1:2">
      <c r="A90">
        <v>2</v>
      </c>
      <c r="B90" s="35" t="s">
        <v>356</v>
      </c>
    </row>
    <row r="91" spans="1:2">
      <c r="B91" s="35" t="s">
        <v>333</v>
      </c>
    </row>
    <row r="92" spans="1:2" ht="13">
      <c r="B92" s="172" t="s">
        <v>334</v>
      </c>
    </row>
    <row r="93" spans="1:2">
      <c r="A93">
        <v>1</v>
      </c>
      <c r="B93" s="35" t="s">
        <v>421</v>
      </c>
    </row>
    <row r="95" spans="1:2" ht="13">
      <c r="A95" s="172" t="s">
        <v>305</v>
      </c>
      <c r="B95" s="35"/>
    </row>
    <row r="96" spans="1:2" ht="13">
      <c r="A96" s="172"/>
      <c r="B96" s="172" t="s">
        <v>337</v>
      </c>
    </row>
    <row r="97" spans="1:3">
      <c r="A97" s="35">
        <v>1</v>
      </c>
      <c r="B97" s="35" t="s">
        <v>366</v>
      </c>
    </row>
    <row r="98" spans="1:3">
      <c r="A98" s="35">
        <v>2</v>
      </c>
      <c r="B98" s="35" t="s">
        <v>422</v>
      </c>
    </row>
    <row r="99" spans="1:3">
      <c r="A99">
        <v>3</v>
      </c>
      <c r="B99" s="35" t="s">
        <v>410</v>
      </c>
    </row>
    <row r="100" spans="1:3">
      <c r="C100" s="35" t="s">
        <v>358</v>
      </c>
    </row>
    <row r="101" spans="1:3">
      <c r="B101" s="35"/>
      <c r="C101" s="35" t="s">
        <v>362</v>
      </c>
    </row>
    <row r="102" spans="1:3">
      <c r="B102" s="35"/>
      <c r="C102" s="35" t="s">
        <v>360</v>
      </c>
    </row>
    <row r="103" spans="1:3">
      <c r="B103" s="35"/>
      <c r="C103" s="35" t="s">
        <v>361</v>
      </c>
    </row>
    <row r="104" spans="1:3">
      <c r="B104" s="35"/>
      <c r="C104" s="35" t="s">
        <v>363</v>
      </c>
    </row>
    <row r="105" spans="1:3">
      <c r="C105" s="35" t="s">
        <v>359</v>
      </c>
    </row>
    <row r="106" spans="1:3">
      <c r="A106">
        <v>4</v>
      </c>
      <c r="B106" s="35" t="s">
        <v>365</v>
      </c>
      <c r="C106" s="35"/>
    </row>
    <row r="107" spans="1:3">
      <c r="B107" s="35" t="s">
        <v>333</v>
      </c>
      <c r="C107" s="35"/>
    </row>
    <row r="108" spans="1:3">
      <c r="A108">
        <v>5</v>
      </c>
      <c r="B108" s="35" t="s">
        <v>394</v>
      </c>
      <c r="C108" s="35"/>
    </row>
    <row r="109" spans="1:3">
      <c r="B109" s="35"/>
      <c r="C109" s="35" t="s">
        <v>395</v>
      </c>
    </row>
    <row r="110" spans="1:3">
      <c r="A110">
        <v>5</v>
      </c>
      <c r="B110" s="35" t="s">
        <v>333</v>
      </c>
      <c r="C110" s="35"/>
    </row>
    <row r="111" spans="1:3">
      <c r="B111" s="35"/>
      <c r="C111" s="35"/>
    </row>
    <row r="112" spans="1:3" ht="13">
      <c r="B112" s="172" t="s">
        <v>334</v>
      </c>
      <c r="C112" s="35"/>
    </row>
    <row r="113" spans="1:3">
      <c r="A113">
        <v>1</v>
      </c>
      <c r="B113" s="35" t="s">
        <v>367</v>
      </c>
      <c r="C113" s="35"/>
    </row>
    <row r="114" spans="1:3">
      <c r="B114" s="35"/>
      <c r="C114" s="35" t="s">
        <v>411</v>
      </c>
    </row>
    <row r="115" spans="1:3">
      <c r="B115" s="35"/>
    </row>
    <row r="116" spans="1:3" ht="13">
      <c r="A116" s="172" t="s">
        <v>225</v>
      </c>
      <c r="B116" s="218"/>
    </row>
    <row r="117" spans="1:3" ht="13">
      <c r="B117" s="172" t="s">
        <v>337</v>
      </c>
    </row>
    <row r="118" spans="1:3">
      <c r="A118">
        <v>1</v>
      </c>
      <c r="B118" s="35" t="s">
        <v>368</v>
      </c>
    </row>
    <row r="119" spans="1:3">
      <c r="A119">
        <v>2</v>
      </c>
      <c r="B119" s="35" t="s">
        <v>369</v>
      </c>
    </row>
    <row r="120" spans="1:3">
      <c r="A120">
        <v>3</v>
      </c>
      <c r="B120" s="35" t="s">
        <v>333</v>
      </c>
    </row>
    <row r="121" spans="1:3">
      <c r="B121" s="35"/>
    </row>
    <row r="122" spans="1:3" ht="13">
      <c r="B122" s="172" t="s">
        <v>334</v>
      </c>
    </row>
    <row r="123" spans="1:3">
      <c r="A123">
        <v>1</v>
      </c>
      <c r="B123" s="35" t="s">
        <v>370</v>
      </c>
    </row>
    <row r="125" spans="1:3" ht="13">
      <c r="A125" s="172" t="s">
        <v>393</v>
      </c>
    </row>
    <row r="126" spans="1:3">
      <c r="A126">
        <v>1</v>
      </c>
      <c r="B126" s="35" t="s">
        <v>373</v>
      </c>
    </row>
    <row r="127" spans="1:3">
      <c r="A127">
        <v>2</v>
      </c>
      <c r="B127" s="35" t="s">
        <v>374</v>
      </c>
    </row>
    <row r="129" spans="1:2" ht="13">
      <c r="A129" s="172" t="s">
        <v>423</v>
      </c>
    </row>
    <row r="130" spans="1:2">
      <c r="A130">
        <v>1</v>
      </c>
      <c r="B130" s="35" t="s">
        <v>424</v>
      </c>
    </row>
    <row r="131" spans="1:2">
      <c r="B131" s="35" t="s">
        <v>425</v>
      </c>
    </row>
    <row r="132" spans="1:2">
      <c r="B132" s="35"/>
    </row>
    <row r="134" spans="1:2" ht="13">
      <c r="A134" s="172" t="s">
        <v>371</v>
      </c>
    </row>
    <row r="136" spans="1:2" ht="13">
      <c r="A136" s="172" t="s">
        <v>375</v>
      </c>
    </row>
    <row r="137" spans="1:2">
      <c r="A137">
        <v>1</v>
      </c>
      <c r="B137" s="35" t="s">
        <v>376</v>
      </c>
    </row>
    <row r="138" spans="1:2">
      <c r="A138">
        <v>2</v>
      </c>
      <c r="B138" s="35" t="s">
        <v>393</v>
      </c>
    </row>
    <row r="139" spans="1:2">
      <c r="A139">
        <v>3</v>
      </c>
      <c r="B139" s="35" t="s">
        <v>383</v>
      </c>
    </row>
    <row r="140" spans="1:2">
      <c r="A140">
        <v>4</v>
      </c>
      <c r="B140" s="35" t="s">
        <v>377</v>
      </c>
    </row>
    <row r="141" spans="1:2">
      <c r="A141">
        <v>5</v>
      </c>
      <c r="B141" s="35" t="s">
        <v>378</v>
      </c>
    </row>
    <row r="142" spans="1:2">
      <c r="A142">
        <v>6</v>
      </c>
      <c r="B142" s="35" t="s">
        <v>379</v>
      </c>
    </row>
    <row r="143" spans="1:2">
      <c r="A143">
        <v>7</v>
      </c>
      <c r="B143" s="35" t="s">
        <v>332</v>
      </c>
    </row>
    <row r="144" spans="1:2">
      <c r="A144">
        <v>8</v>
      </c>
      <c r="B144" s="35" t="s">
        <v>380</v>
      </c>
    </row>
    <row r="145" spans="1:2">
      <c r="A145">
        <v>9</v>
      </c>
      <c r="B145" s="35" t="s">
        <v>384</v>
      </c>
    </row>
  </sheetData>
  <pageMargins left="0.7" right="0.7" top="0.75" bottom="0.75" header="0.3" footer="0.3"/>
  <pageSetup scale="8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8"/>
  <sheetViews>
    <sheetView workbookViewId="0">
      <selection activeCell="L2" sqref="L2"/>
    </sheetView>
  </sheetViews>
  <sheetFormatPr defaultColWidth="11.1796875" defaultRowHeight="12.5"/>
  <cols>
    <col min="1" max="1" width="10.7265625" style="12" customWidth="1"/>
    <col min="2" max="2" width="8.54296875" style="12" customWidth="1"/>
    <col min="3" max="3" width="20.7265625" style="12" customWidth="1"/>
    <col min="4" max="4" width="14.54296875" style="12" customWidth="1"/>
    <col min="5" max="5" width="10.1796875" style="12" customWidth="1"/>
    <col min="6" max="6" width="17.7265625" style="10" customWidth="1"/>
    <col min="7" max="7" width="13.81640625" style="10" customWidth="1"/>
    <col min="8" max="8" width="15.453125" style="10" customWidth="1"/>
    <col min="9" max="9" width="16.453125" style="10" hidden="1" customWidth="1"/>
    <col min="10" max="10" width="15.1796875" style="10" customWidth="1"/>
    <col min="11" max="11" width="15.81640625" style="10" customWidth="1"/>
    <col min="12" max="12" width="14.1796875" style="10" customWidth="1"/>
    <col min="13" max="13" width="14.7265625" style="12" customWidth="1"/>
    <col min="14" max="14" width="19.7265625" style="12" customWidth="1"/>
    <col min="15" max="16384" width="11.1796875" style="12"/>
  </cols>
  <sheetData>
    <row r="1" spans="1:14" ht="12" customHeight="1">
      <c r="A1" s="431" t="s">
        <v>53</v>
      </c>
      <c r="B1" s="431"/>
      <c r="C1" s="431"/>
      <c r="D1" s="128"/>
      <c r="F1" s="405" t="s">
        <v>4</v>
      </c>
      <c r="G1" s="405"/>
      <c r="H1" s="405"/>
      <c r="I1" s="405"/>
      <c r="J1" s="405"/>
      <c r="K1" s="405"/>
    </row>
    <row r="2" spans="1:14" ht="18" customHeight="1">
      <c r="A2" s="336" t="s">
        <v>311</v>
      </c>
      <c r="B2" s="129"/>
      <c r="C2" s="129"/>
      <c r="F2" s="405" t="s">
        <v>5</v>
      </c>
      <c r="G2" s="405"/>
      <c r="H2" s="405"/>
      <c r="I2" s="405"/>
      <c r="J2" s="405"/>
      <c r="K2" s="405"/>
      <c r="L2" s="358"/>
    </row>
    <row r="3" spans="1:14" ht="21" customHeight="1">
      <c r="A3" s="12" t="s">
        <v>8</v>
      </c>
      <c r="B3" s="129"/>
      <c r="C3" s="407"/>
      <c r="D3" s="407"/>
      <c r="F3" s="406" t="s">
        <v>420</v>
      </c>
      <c r="G3" s="406"/>
      <c r="H3" s="406"/>
      <c r="I3" s="406"/>
      <c r="J3" s="406"/>
      <c r="K3" s="406"/>
      <c r="L3" s="358"/>
    </row>
    <row r="4" spans="1:14" ht="20.5" customHeight="1">
      <c r="A4" s="12" t="s">
        <v>412</v>
      </c>
      <c r="B4" s="129"/>
      <c r="C4" s="407"/>
      <c r="D4" s="407"/>
      <c r="F4" s="405" t="s">
        <v>434</v>
      </c>
      <c r="G4" s="405"/>
      <c r="H4" s="405"/>
      <c r="I4" s="405"/>
      <c r="J4" s="405"/>
      <c r="K4" s="405"/>
      <c r="L4" s="358"/>
    </row>
    <row r="5" spans="1:14" ht="18.649999999999999" customHeight="1">
      <c r="A5" s="7" t="s">
        <v>95</v>
      </c>
      <c r="B5" s="129"/>
      <c r="C5" s="407"/>
      <c r="D5" s="407"/>
      <c r="F5" s="135"/>
      <c r="G5" s="403">
        <v>46569</v>
      </c>
      <c r="H5" s="353" t="s">
        <v>433</v>
      </c>
      <c r="I5" s="135"/>
      <c r="J5" s="404">
        <f>G5+364</f>
        <v>46933</v>
      </c>
      <c r="K5" s="135"/>
      <c r="L5" s="358"/>
    </row>
    <row r="6" spans="1:14" ht="18" customHeight="1">
      <c r="A6" s="7" t="s">
        <v>9</v>
      </c>
      <c r="B6" s="129"/>
      <c r="C6" s="407"/>
      <c r="D6" s="407"/>
      <c r="F6" s="353"/>
      <c r="G6" s="353"/>
      <c r="H6" s="353"/>
      <c r="I6" s="353"/>
      <c r="L6" s="357"/>
    </row>
    <row r="7" spans="1:14" ht="18" customHeight="1">
      <c r="A7" s="7" t="s">
        <v>96</v>
      </c>
      <c r="B7" s="129"/>
      <c r="C7" s="407"/>
      <c r="D7" s="407"/>
      <c r="F7" s="353"/>
      <c r="G7" s="353"/>
      <c r="H7" s="353"/>
      <c r="I7" s="353"/>
      <c r="L7" s="357"/>
    </row>
    <row r="8" spans="1:14" ht="18" customHeight="1">
      <c r="A8" s="7" t="s">
        <v>10</v>
      </c>
      <c r="B8" s="129"/>
      <c r="C8" s="408"/>
      <c r="D8" s="407"/>
      <c r="F8" s="353"/>
      <c r="G8" s="353"/>
      <c r="H8" s="353"/>
      <c r="I8" s="353"/>
      <c r="L8" s="357"/>
    </row>
    <row r="9" spans="1:14" ht="18" customHeight="1">
      <c r="A9" s="7" t="s">
        <v>6</v>
      </c>
      <c r="B9" s="18"/>
      <c r="C9" s="407"/>
      <c r="D9" s="407"/>
      <c r="J9" s="130"/>
      <c r="L9" s="358"/>
    </row>
    <row r="10" spans="1:14" ht="18" customHeight="1">
      <c r="A10" s="421" t="s">
        <v>7</v>
      </c>
      <c r="B10" s="421"/>
      <c r="C10" s="434"/>
      <c r="D10" s="434"/>
      <c r="F10" s="425" t="str">
        <f>IF(B14&lt;&gt;100%, "ERROR: Distribution % must equal exactly 100%!","")</f>
        <v/>
      </c>
      <c r="G10" s="425"/>
      <c r="H10" s="425"/>
      <c r="I10" s="425"/>
      <c r="J10" s="425"/>
      <c r="K10" s="425"/>
      <c r="L10" s="359"/>
    </row>
    <row r="11" spans="1:14" ht="13.5" customHeight="1" thickBot="1">
      <c r="A11" s="51"/>
      <c r="B11" s="51"/>
      <c r="C11" s="51"/>
      <c r="D11" s="51"/>
      <c r="E11" s="51"/>
      <c r="F11" s="368"/>
      <c r="G11" s="368"/>
      <c r="H11" s="368"/>
      <c r="I11" s="372"/>
      <c r="J11" s="131"/>
      <c r="K11" s="132"/>
      <c r="L11" s="354"/>
    </row>
    <row r="12" spans="1:14" s="19" customFormat="1" ht="12" customHeight="1">
      <c r="A12" s="56" t="s">
        <v>14</v>
      </c>
      <c r="B12" s="57"/>
      <c r="C12" s="411" t="s">
        <v>15</v>
      </c>
      <c r="D12" s="412"/>
      <c r="E12" s="355"/>
      <c r="F12" s="416" t="s">
        <v>288</v>
      </c>
      <c r="G12" s="417"/>
      <c r="H12" s="417"/>
      <c r="I12" s="417"/>
      <c r="J12" s="417"/>
      <c r="K12" s="418"/>
      <c r="L12" s="409" t="s">
        <v>13</v>
      </c>
    </row>
    <row r="13" spans="1:14" ht="57.75" customHeight="1" thickBot="1">
      <c r="A13" s="58" t="s">
        <v>16</v>
      </c>
      <c r="B13" s="59"/>
      <c r="C13" s="432" t="s">
        <v>17</v>
      </c>
      <c r="D13" s="433"/>
      <c r="E13" s="360"/>
      <c r="F13" s="60" t="s">
        <v>100</v>
      </c>
      <c r="G13" s="60" t="s">
        <v>264</v>
      </c>
      <c r="H13" s="60" t="s">
        <v>270</v>
      </c>
      <c r="I13" s="60" t="s">
        <v>271</v>
      </c>
      <c r="J13" s="60" t="s">
        <v>272</v>
      </c>
      <c r="K13" s="60" t="s">
        <v>265</v>
      </c>
      <c r="L13" s="410"/>
    </row>
    <row r="14" spans="1:14" ht="13">
      <c r="A14" s="61">
        <v>1</v>
      </c>
      <c r="B14" s="79">
        <f>SUM(F14:K14)</f>
        <v>1</v>
      </c>
      <c r="C14" s="54" t="s">
        <v>46</v>
      </c>
      <c r="D14" s="55"/>
      <c r="E14" s="361"/>
      <c r="F14" s="72">
        <v>0.16</v>
      </c>
      <c r="G14" s="72">
        <v>0.75</v>
      </c>
      <c r="H14" s="72">
        <v>7.4999999999999997E-2</v>
      </c>
      <c r="I14" s="373"/>
      <c r="J14" s="72">
        <v>0.01</v>
      </c>
      <c r="K14" s="72">
        <v>5.0000000000000001E-3</v>
      </c>
      <c r="L14" s="282">
        <f>SUM(F14:K14)</f>
        <v>1</v>
      </c>
      <c r="N14" s="275"/>
    </row>
    <row r="15" spans="1:14" ht="13">
      <c r="A15" s="20"/>
      <c r="B15" s="21"/>
      <c r="C15" s="228" t="s">
        <v>413</v>
      </c>
      <c r="D15" s="228"/>
      <c r="E15" s="362"/>
      <c r="F15" s="22"/>
      <c r="G15" s="22"/>
      <c r="H15" s="22"/>
      <c r="I15" s="229"/>
      <c r="J15" s="229"/>
      <c r="K15" s="229"/>
      <c r="L15" s="273"/>
      <c r="N15" s="275"/>
    </row>
    <row r="16" spans="1:14" ht="15.5">
      <c r="A16" s="23">
        <v>2</v>
      </c>
      <c r="B16" s="24"/>
      <c r="C16" s="415" t="s">
        <v>414</v>
      </c>
      <c r="D16" s="414"/>
      <c r="E16" s="356"/>
      <c r="F16" s="26">
        <f>$L$16*F14</f>
        <v>0</v>
      </c>
      <c r="G16" s="26">
        <f>$L$16*G14</f>
        <v>0</v>
      </c>
      <c r="H16" s="26">
        <f>$L$16*H14</f>
        <v>0</v>
      </c>
      <c r="I16" s="26">
        <f t="shared" ref="I16:J16" si="0">$L$16*I14</f>
        <v>0</v>
      </c>
      <c r="J16" s="26">
        <f t="shared" si="0"/>
        <v>0</v>
      </c>
      <c r="K16" s="26">
        <f>$L$16*K14</f>
        <v>0</v>
      </c>
      <c r="L16" s="402"/>
      <c r="M16" s="370"/>
      <c r="N16" s="275"/>
    </row>
    <row r="17" spans="1:14" ht="15.5" hidden="1">
      <c r="A17" s="20"/>
      <c r="B17" s="21"/>
      <c r="C17" s="228" t="s">
        <v>18</v>
      </c>
      <c r="D17" s="272"/>
      <c r="E17" s="362"/>
      <c r="F17" s="27"/>
      <c r="G17" s="27"/>
      <c r="H17" s="27"/>
      <c r="I17" s="27"/>
      <c r="J17" s="27"/>
      <c r="K17" s="27"/>
      <c r="L17" s="28"/>
      <c r="M17" s="371"/>
      <c r="N17" s="275"/>
    </row>
    <row r="18" spans="1:14" hidden="1">
      <c r="A18" s="23">
        <v>6</v>
      </c>
      <c r="B18" s="17"/>
      <c r="C18" s="413" t="s">
        <v>19</v>
      </c>
      <c r="D18" s="414"/>
      <c r="E18" s="356"/>
      <c r="F18" s="73"/>
      <c r="G18" s="73"/>
      <c r="H18" s="73"/>
      <c r="I18" s="73"/>
      <c r="J18" s="73"/>
      <c r="K18" s="73"/>
      <c r="L18" s="25">
        <f t="shared" ref="L18:L23" si="1">SUM(F18:K18)</f>
        <v>0</v>
      </c>
      <c r="M18" s="82"/>
      <c r="N18" s="369"/>
    </row>
    <row r="19" spans="1:14" hidden="1">
      <c r="A19" s="23">
        <v>7</v>
      </c>
      <c r="B19" s="24"/>
      <c r="C19" s="413" t="s">
        <v>20</v>
      </c>
      <c r="D19" s="414"/>
      <c r="E19" s="356"/>
      <c r="F19" s="73"/>
      <c r="G19" s="73"/>
      <c r="H19" s="73"/>
      <c r="I19" s="73"/>
      <c r="J19" s="73"/>
      <c r="K19" s="73"/>
      <c r="L19" s="25">
        <f t="shared" si="1"/>
        <v>0</v>
      </c>
      <c r="M19" s="82"/>
      <c r="N19" s="369"/>
    </row>
    <row r="20" spans="1:14" hidden="1">
      <c r="A20" s="23">
        <v>8</v>
      </c>
      <c r="B20" s="24"/>
      <c r="C20" s="413" t="s">
        <v>21</v>
      </c>
      <c r="D20" s="414"/>
      <c r="E20" s="356"/>
      <c r="F20" s="73"/>
      <c r="G20" s="73"/>
      <c r="H20" s="73"/>
      <c r="I20" s="73"/>
      <c r="J20" s="73"/>
      <c r="K20" s="73"/>
      <c r="L20" s="25">
        <f t="shared" si="1"/>
        <v>0</v>
      </c>
      <c r="M20" s="82"/>
    </row>
    <row r="21" spans="1:14" hidden="1">
      <c r="A21" s="23">
        <v>9</v>
      </c>
      <c r="B21" s="24"/>
      <c r="C21" s="415" t="s">
        <v>22</v>
      </c>
      <c r="D21" s="414"/>
      <c r="E21" s="356"/>
      <c r="F21" s="73"/>
      <c r="G21" s="73"/>
      <c r="H21" s="73"/>
      <c r="I21" s="73"/>
      <c r="J21" s="73"/>
      <c r="K21" s="73"/>
      <c r="L21" s="25">
        <f t="shared" si="1"/>
        <v>0</v>
      </c>
      <c r="M21" s="82"/>
    </row>
    <row r="22" spans="1:14" hidden="1">
      <c r="A22" s="23">
        <v>10</v>
      </c>
      <c r="B22" s="24"/>
      <c r="C22" s="440" t="s">
        <v>77</v>
      </c>
      <c r="D22" s="441"/>
      <c r="E22" s="442"/>
      <c r="F22" s="29">
        <f t="shared" ref="F22:K22" si="2">SUM(F18:F21)</f>
        <v>0</v>
      </c>
      <c r="G22" s="29">
        <f t="shared" si="2"/>
        <v>0</v>
      </c>
      <c r="H22" s="29">
        <f t="shared" si="2"/>
        <v>0</v>
      </c>
      <c r="I22" s="29">
        <f t="shared" si="2"/>
        <v>0</v>
      </c>
      <c r="J22" s="29">
        <f t="shared" si="2"/>
        <v>0</v>
      </c>
      <c r="K22" s="29">
        <f t="shared" si="2"/>
        <v>0</v>
      </c>
      <c r="L22" s="30">
        <f t="shared" si="1"/>
        <v>0</v>
      </c>
      <c r="M22" s="82"/>
    </row>
    <row r="23" spans="1:14" hidden="1">
      <c r="A23" s="23">
        <v>11</v>
      </c>
      <c r="B23" s="24"/>
      <c r="C23" s="443" t="s">
        <v>78</v>
      </c>
      <c r="D23" s="444"/>
      <c r="E23" s="363"/>
      <c r="F23" s="44">
        <f t="shared" ref="F23:K23" si="3">F16-F22</f>
        <v>0</v>
      </c>
      <c r="G23" s="44">
        <f t="shared" si="3"/>
        <v>0</v>
      </c>
      <c r="H23" s="44">
        <f t="shared" si="3"/>
        <v>0</v>
      </c>
      <c r="I23" s="44">
        <f t="shared" si="3"/>
        <v>0</v>
      </c>
      <c r="J23" s="44">
        <f t="shared" si="3"/>
        <v>0</v>
      </c>
      <c r="K23" s="44">
        <f t="shared" si="3"/>
        <v>0</v>
      </c>
      <c r="L23" s="45">
        <f t="shared" si="1"/>
        <v>0</v>
      </c>
      <c r="M23" s="82"/>
    </row>
    <row r="24" spans="1:14" ht="13">
      <c r="A24" s="20"/>
      <c r="B24" s="31" t="s">
        <v>48</v>
      </c>
      <c r="C24" s="422" t="s">
        <v>429</v>
      </c>
      <c r="D24" s="423"/>
      <c r="E24" s="364" t="s">
        <v>47</v>
      </c>
      <c r="F24" s="27"/>
      <c r="G24" s="27"/>
      <c r="H24" s="27"/>
      <c r="I24" s="27"/>
      <c r="J24" s="27"/>
      <c r="K24" s="27"/>
      <c r="L24" s="28"/>
    </row>
    <row r="25" spans="1:14">
      <c r="A25" s="23">
        <v>3</v>
      </c>
      <c r="B25" s="32">
        <v>1</v>
      </c>
      <c r="C25" s="419" t="s">
        <v>55</v>
      </c>
      <c r="D25" s="420"/>
      <c r="E25" s="365">
        <v>0.5</v>
      </c>
      <c r="F25" s="33">
        <f t="shared" ref="F25:K25" si="4">ROUND(F$23*$B$25*$E$25,2)</f>
        <v>0</v>
      </c>
      <c r="G25" s="33">
        <f t="shared" si="4"/>
        <v>0</v>
      </c>
      <c r="H25" s="33">
        <f t="shared" si="4"/>
        <v>0</v>
      </c>
      <c r="I25" s="33">
        <f t="shared" si="4"/>
        <v>0</v>
      </c>
      <c r="J25" s="33">
        <f t="shared" si="4"/>
        <v>0</v>
      </c>
      <c r="K25" s="33">
        <f t="shared" si="4"/>
        <v>0</v>
      </c>
      <c r="L25" s="25">
        <f t="shared" ref="L25:L34" si="5">SUM(F25:K25)</f>
        <v>0</v>
      </c>
      <c r="M25" s="82"/>
    </row>
    <row r="26" spans="1:14" hidden="1">
      <c r="A26" s="23"/>
      <c r="B26" s="32">
        <v>1</v>
      </c>
      <c r="C26" s="288" t="s">
        <v>285</v>
      </c>
      <c r="D26" s="290"/>
      <c r="E26" s="365">
        <v>0</v>
      </c>
      <c r="F26" s="33">
        <f t="shared" ref="F26:K26" si="6">ROUND((F$23*$B$26*$E$26),2)</f>
        <v>0</v>
      </c>
      <c r="G26" s="33">
        <f t="shared" si="6"/>
        <v>0</v>
      </c>
      <c r="H26" s="33">
        <f t="shared" si="6"/>
        <v>0</v>
      </c>
      <c r="I26" s="33">
        <f t="shared" si="6"/>
        <v>0</v>
      </c>
      <c r="J26" s="33">
        <f t="shared" si="6"/>
        <v>0</v>
      </c>
      <c r="K26" s="33">
        <f t="shared" si="6"/>
        <v>0</v>
      </c>
      <c r="L26" s="25">
        <f t="shared" si="5"/>
        <v>0</v>
      </c>
      <c r="M26" s="82"/>
    </row>
    <row r="27" spans="1:14" hidden="1">
      <c r="A27" s="23"/>
      <c r="B27" s="32"/>
      <c r="C27" s="289" t="s">
        <v>415</v>
      </c>
      <c r="D27" s="291"/>
      <c r="E27" s="365">
        <v>0</v>
      </c>
      <c r="F27" s="33">
        <f t="shared" ref="F27:K27" si="7">F23*$E$27</f>
        <v>0</v>
      </c>
      <c r="G27" s="33">
        <f t="shared" si="7"/>
        <v>0</v>
      </c>
      <c r="H27" s="33">
        <f t="shared" si="7"/>
        <v>0</v>
      </c>
      <c r="I27" s="33">
        <f t="shared" si="7"/>
        <v>0</v>
      </c>
      <c r="J27" s="33">
        <f t="shared" si="7"/>
        <v>0</v>
      </c>
      <c r="K27" s="33">
        <f t="shared" si="7"/>
        <v>0</v>
      </c>
      <c r="L27" s="25">
        <f t="shared" si="5"/>
        <v>0</v>
      </c>
      <c r="M27" s="82"/>
    </row>
    <row r="28" spans="1:14" hidden="1">
      <c r="A28" s="23"/>
      <c r="B28" s="32"/>
      <c r="C28" s="288" t="s">
        <v>266</v>
      </c>
      <c r="D28" s="290"/>
      <c r="E28" s="365">
        <v>0</v>
      </c>
      <c r="F28" s="33">
        <f t="shared" ref="F28:K28" si="8">F23*$E$28</f>
        <v>0</v>
      </c>
      <c r="G28" s="33">
        <f t="shared" si="8"/>
        <v>0</v>
      </c>
      <c r="H28" s="33">
        <f t="shared" si="8"/>
        <v>0</v>
      </c>
      <c r="I28" s="33">
        <f t="shared" si="8"/>
        <v>0</v>
      </c>
      <c r="J28" s="33">
        <f t="shared" si="8"/>
        <v>0</v>
      </c>
      <c r="K28" s="33">
        <f t="shared" si="8"/>
        <v>0</v>
      </c>
      <c r="L28" s="25">
        <f t="shared" si="5"/>
        <v>0</v>
      </c>
      <c r="M28" s="82"/>
    </row>
    <row r="29" spans="1:14" ht="13">
      <c r="A29" s="23">
        <v>4</v>
      </c>
      <c r="B29" s="32"/>
      <c r="C29" s="287" t="s">
        <v>284</v>
      </c>
      <c r="D29" s="292"/>
      <c r="E29" s="365">
        <v>0.5</v>
      </c>
      <c r="F29" s="33">
        <f t="shared" ref="F29:K29" si="9">F23*$E$29</f>
        <v>0</v>
      </c>
      <c r="G29" s="33">
        <f t="shared" si="9"/>
        <v>0</v>
      </c>
      <c r="H29" s="33">
        <f t="shared" si="9"/>
        <v>0</v>
      </c>
      <c r="I29" s="33">
        <f t="shared" si="9"/>
        <v>0</v>
      </c>
      <c r="J29" s="33">
        <f t="shared" si="9"/>
        <v>0</v>
      </c>
      <c r="K29" s="33">
        <f t="shared" si="9"/>
        <v>0</v>
      </c>
      <c r="L29" s="25">
        <f t="shared" si="5"/>
        <v>0</v>
      </c>
      <c r="M29" s="82"/>
    </row>
    <row r="30" spans="1:14" customFormat="1" ht="13">
      <c r="A30" s="23"/>
      <c r="B30" s="32"/>
      <c r="C30" s="46" t="s">
        <v>50</v>
      </c>
      <c r="D30" s="47"/>
      <c r="E30" s="366"/>
      <c r="F30" s="44">
        <f t="shared" ref="F30:K30" si="10">SUM(F25:F29)</f>
        <v>0</v>
      </c>
      <c r="G30" s="44">
        <f t="shared" si="10"/>
        <v>0</v>
      </c>
      <c r="H30" s="44">
        <f t="shared" si="10"/>
        <v>0</v>
      </c>
      <c r="I30" s="44">
        <f t="shared" si="10"/>
        <v>0</v>
      </c>
      <c r="J30" s="44">
        <f t="shared" si="10"/>
        <v>0</v>
      </c>
      <c r="K30" s="44">
        <f t="shared" si="10"/>
        <v>0</v>
      </c>
      <c r="L30" s="45">
        <f t="shared" si="5"/>
        <v>0</v>
      </c>
      <c r="M30" s="82"/>
    </row>
    <row r="31" spans="1:14" ht="13">
      <c r="A31" s="23">
        <v>5</v>
      </c>
      <c r="B31" s="24"/>
      <c r="C31" s="415" t="s">
        <v>49</v>
      </c>
      <c r="D31" s="414"/>
      <c r="E31" s="424"/>
      <c r="F31" s="34">
        <f t="shared" ref="F31:K31" si="11">ROUND((F23-F30),0)</f>
        <v>0</v>
      </c>
      <c r="G31" s="34">
        <f t="shared" si="11"/>
        <v>0</v>
      </c>
      <c r="H31" s="34">
        <f t="shared" si="11"/>
        <v>0</v>
      </c>
      <c r="I31" s="34">
        <f t="shared" si="11"/>
        <v>0</v>
      </c>
      <c r="J31" s="34">
        <f t="shared" si="11"/>
        <v>0</v>
      </c>
      <c r="K31" s="34">
        <f t="shared" si="11"/>
        <v>0</v>
      </c>
      <c r="L31" s="25">
        <f t="shared" si="5"/>
        <v>0</v>
      </c>
      <c r="M31" s="82"/>
    </row>
    <row r="32" spans="1:14">
      <c r="A32" s="49">
        <v>6</v>
      </c>
      <c r="B32" s="50"/>
      <c r="C32" s="419" t="s">
        <v>54</v>
      </c>
      <c r="D32" s="420"/>
      <c r="E32" s="435"/>
      <c r="F32" s="33">
        <f t="shared" ref="F32:K32" si="12">SUM(F26:F29)</f>
        <v>0</v>
      </c>
      <c r="G32" s="33">
        <f t="shared" si="12"/>
        <v>0</v>
      </c>
      <c r="H32" s="33">
        <f t="shared" si="12"/>
        <v>0</v>
      </c>
      <c r="I32" s="33">
        <f t="shared" si="12"/>
        <v>0</v>
      </c>
      <c r="J32" s="33">
        <f t="shared" si="12"/>
        <v>0</v>
      </c>
      <c r="K32" s="33">
        <f t="shared" si="12"/>
        <v>0</v>
      </c>
      <c r="L32" s="25">
        <f t="shared" si="5"/>
        <v>0</v>
      </c>
      <c r="M32" s="82"/>
    </row>
    <row r="33" spans="1:19">
      <c r="A33" s="66">
        <v>7</v>
      </c>
      <c r="B33" s="70"/>
      <c r="C33" s="436" t="s">
        <v>51</v>
      </c>
      <c r="D33" s="420"/>
      <c r="E33" s="435"/>
      <c r="F33" s="52">
        <f t="shared" ref="F33:K33" si="13">F25</f>
        <v>0</v>
      </c>
      <c r="G33" s="52">
        <f t="shared" si="13"/>
        <v>0</v>
      </c>
      <c r="H33" s="52">
        <f t="shared" si="13"/>
        <v>0</v>
      </c>
      <c r="I33" s="52">
        <f t="shared" si="13"/>
        <v>0</v>
      </c>
      <c r="J33" s="52">
        <f t="shared" si="13"/>
        <v>0</v>
      </c>
      <c r="K33" s="52">
        <f t="shared" si="13"/>
        <v>0</v>
      </c>
      <c r="L33" s="77">
        <f t="shared" si="5"/>
        <v>0</v>
      </c>
      <c r="M33" s="82"/>
    </row>
    <row r="34" spans="1:19" ht="13" thickBot="1">
      <c r="A34" s="68"/>
      <c r="B34" s="71"/>
      <c r="C34" s="437" t="s">
        <v>52</v>
      </c>
      <c r="D34" s="438"/>
      <c r="E34" s="439"/>
      <c r="F34" s="48">
        <f t="shared" ref="F34:K34" si="14">SUM(F32:F33)</f>
        <v>0</v>
      </c>
      <c r="G34" s="48">
        <f t="shared" si="14"/>
        <v>0</v>
      </c>
      <c r="H34" s="48">
        <f t="shared" si="14"/>
        <v>0</v>
      </c>
      <c r="I34" s="48">
        <f t="shared" si="14"/>
        <v>0</v>
      </c>
      <c r="J34" s="48">
        <f t="shared" si="14"/>
        <v>0</v>
      </c>
      <c r="K34" s="48">
        <f t="shared" si="14"/>
        <v>0</v>
      </c>
      <c r="L34" s="78">
        <f t="shared" si="5"/>
        <v>0</v>
      </c>
      <c r="M34" s="82"/>
    </row>
    <row r="35" spans="1:19" ht="13.5" thickBot="1">
      <c r="A35" s="68">
        <v>8</v>
      </c>
      <c r="B35" s="69"/>
      <c r="C35" s="428" t="s">
        <v>286</v>
      </c>
      <c r="D35" s="429"/>
      <c r="E35" s="430"/>
      <c r="F35" s="225">
        <f>IFERROR(IF(F34=0,0,F34/F36),"")</f>
        <v>0</v>
      </c>
      <c r="G35" s="225">
        <f t="shared" ref="G35:K35" si="15">IFERROR(IF(G34=0,0,G34/G36),"")</f>
        <v>0</v>
      </c>
      <c r="H35" s="225">
        <f t="shared" si="15"/>
        <v>0</v>
      </c>
      <c r="I35" s="225">
        <f t="shared" si="15"/>
        <v>0</v>
      </c>
      <c r="J35" s="225">
        <f t="shared" si="15"/>
        <v>0</v>
      </c>
      <c r="K35" s="225">
        <f t="shared" si="15"/>
        <v>0</v>
      </c>
      <c r="L35" s="76"/>
    </row>
    <row r="36" spans="1:19" s="35" customFormat="1" ht="13" thickBot="1">
      <c r="A36" s="62">
        <v>9</v>
      </c>
      <c r="B36" s="67"/>
      <c r="C36" s="426" t="s">
        <v>287</v>
      </c>
      <c r="D36" s="427"/>
      <c r="E36" s="367"/>
      <c r="F36" s="399">
        <f>IFERROR(F34/'Srv Proj Modes 05,10,15'!E$11,0)</f>
        <v>0</v>
      </c>
      <c r="G36" s="399">
        <f>IFERROR(G34/'Srv Proj Modes 05,10,15'!F$11,0)</f>
        <v>0</v>
      </c>
      <c r="H36" s="399">
        <f>IFERROR(H34/'Srv Proj Modes 05,10,15'!G$11,0)</f>
        <v>0</v>
      </c>
      <c r="I36" s="399">
        <f>IFERROR(I34/'Srv Proj Modes 05,10,15'!H$11,0)</f>
        <v>0</v>
      </c>
      <c r="J36" s="399">
        <f>IFERROR(J34/'Srv Proj Modes 05,10,15'!I$11,0)</f>
        <v>0</v>
      </c>
      <c r="K36" s="399">
        <f>IFERROR(K34/'Srv Proj Modes 05,10,15'!J$11,0)</f>
        <v>0</v>
      </c>
      <c r="L36" s="400">
        <f>SUM(F36:K36)</f>
        <v>0</v>
      </c>
      <c r="M36" s="82"/>
    </row>
    <row r="37" spans="1:19" ht="12" customHeight="1">
      <c r="A37" t="s">
        <v>430</v>
      </c>
      <c r="B37"/>
      <c r="C37"/>
      <c r="D37"/>
      <c r="E37"/>
      <c r="F37" s="133"/>
      <c r="G37" s="133"/>
      <c r="H37" s="133"/>
      <c r="I37" s="133"/>
      <c r="J37" s="133"/>
      <c r="K37" s="133"/>
      <c r="L37" s="133"/>
      <c r="M37"/>
      <c r="N37"/>
      <c r="O37"/>
      <c r="P37"/>
      <c r="Q37"/>
      <c r="R37"/>
      <c r="S37"/>
    </row>
    <row r="38" spans="1:19" ht="7.5" customHeight="1">
      <c r="A38"/>
      <c r="B38"/>
      <c r="C38"/>
      <c r="D38"/>
      <c r="E38"/>
      <c r="F38" s="134"/>
      <c r="G38" s="134"/>
      <c r="H38" s="134"/>
      <c r="I38" s="134"/>
      <c r="J38" s="134"/>
      <c r="K38" s="134"/>
      <c r="L38" s="134"/>
      <c r="M38" s="82"/>
      <c r="N38" s="35"/>
      <c r="O38"/>
      <c r="P38"/>
      <c r="Q38"/>
      <c r="R38"/>
      <c r="S38"/>
    </row>
    <row r="39" spans="1:19" ht="13">
      <c r="A39" s="11" t="s">
        <v>11</v>
      </c>
      <c r="B39"/>
      <c r="C39"/>
      <c r="D39"/>
      <c r="E39"/>
      <c r="F39" s="181"/>
      <c r="G39" s="181"/>
      <c r="H39" s="181"/>
      <c r="I39" s="134"/>
      <c r="J39" s="134"/>
      <c r="K39" s="134"/>
      <c r="L39" s="134"/>
      <c r="M39" s="82"/>
      <c r="N39"/>
      <c r="O39"/>
      <c r="P39"/>
      <c r="Q39"/>
      <c r="R39"/>
      <c r="S39"/>
    </row>
    <row r="40" spans="1:19" ht="12" customHeight="1">
      <c r="F40" s="13"/>
      <c r="G40" s="13"/>
      <c r="H40" s="13"/>
      <c r="I40" s="13"/>
      <c r="J40" s="13"/>
      <c r="K40" s="13"/>
    </row>
    <row r="41" spans="1:19" ht="12" customHeight="1">
      <c r="A41" s="8"/>
      <c r="B41" s="8"/>
      <c r="C41" s="8"/>
      <c r="D41" s="175"/>
      <c r="E41" s="8"/>
      <c r="F41" s="14"/>
      <c r="G41" s="397"/>
      <c r="H41" s="553"/>
      <c r="I41" s="15"/>
      <c r="J41" s="14"/>
      <c r="K41" s="15"/>
      <c r="L41" s="16"/>
    </row>
    <row r="42" spans="1:19" ht="12" customHeight="1">
      <c r="A42" s="90" t="s">
        <v>110</v>
      </c>
      <c r="B42" s="90"/>
      <c r="C42" s="90"/>
      <c r="D42" s="12" t="s">
        <v>108</v>
      </c>
      <c r="E42" s="12" t="s">
        <v>416</v>
      </c>
      <c r="F42" s="279"/>
      <c r="G42" s="279" t="s">
        <v>108</v>
      </c>
      <c r="H42" s="90" t="s">
        <v>417</v>
      </c>
      <c r="I42" s="10" t="s">
        <v>417</v>
      </c>
      <c r="K42" s="12"/>
      <c r="L42" s="90" t="s">
        <v>108</v>
      </c>
    </row>
    <row r="43" spans="1:19" ht="9.75" customHeight="1">
      <c r="A43" s="96"/>
      <c r="B43" s="96"/>
      <c r="C43" s="96"/>
      <c r="D43" s="96"/>
      <c r="E43" s="96"/>
      <c r="F43" s="96"/>
      <c r="G43" s="96"/>
      <c r="H43" s="96"/>
      <c r="I43" s="96"/>
      <c r="J43" s="97"/>
      <c r="K43" s="97"/>
      <c r="L43" s="97"/>
    </row>
    <row r="44" spans="1:19" ht="17.25" customHeight="1">
      <c r="A44" s="8"/>
      <c r="B44" s="8"/>
      <c r="C44" s="8"/>
      <c r="D44" s="8"/>
      <c r="E44" s="8"/>
      <c r="F44" s="95"/>
      <c r="G44" s="398"/>
      <c r="H44" s="554"/>
      <c r="I44" s="95"/>
      <c r="J44" s="95"/>
      <c r="K44" s="95"/>
      <c r="L44" s="95"/>
    </row>
    <row r="45" spans="1:19" ht="12" customHeight="1">
      <c r="A45" s="90" t="s">
        <v>76</v>
      </c>
      <c r="B45" s="90"/>
      <c r="C45" s="90"/>
      <c r="D45" s="396"/>
      <c r="E45" s="12" t="s">
        <v>431</v>
      </c>
      <c r="F45" s="279"/>
      <c r="G45" s="279"/>
      <c r="H45" s="396" t="s">
        <v>109</v>
      </c>
      <c r="I45" s="90" t="s">
        <v>109</v>
      </c>
      <c r="K45" s="12"/>
      <c r="L45" s="90"/>
    </row>
    <row r="46" spans="1:19" ht="13">
      <c r="A46" s="36"/>
      <c r="B46" s="36"/>
      <c r="C46" s="36"/>
      <c r="D46" s="36"/>
      <c r="E46" s="36"/>
      <c r="F46" s="36"/>
      <c r="G46" s="36"/>
      <c r="H46" s="36"/>
    </row>
    <row r="47" spans="1:19" ht="13">
      <c r="A47" s="36"/>
      <c r="B47" s="36"/>
      <c r="C47" s="36"/>
      <c r="D47" s="36"/>
      <c r="E47" s="36"/>
      <c r="F47" s="36"/>
      <c r="G47" s="36"/>
      <c r="H47" s="36"/>
    </row>
    <row r="48" spans="1:19" ht="13">
      <c r="A48" s="36"/>
      <c r="B48" s="36"/>
      <c r="C48" s="36"/>
      <c r="D48" s="36"/>
      <c r="E48" s="36"/>
      <c r="F48" s="36"/>
      <c r="G48" s="36"/>
      <c r="H48" s="36"/>
    </row>
  </sheetData>
  <sheetProtection algorithmName="SHA-512" hashValue="LCQHG8DvNkq2nGAvNoKrGxyXhoJLWVPoQIl2VoxJddfaP7wZPK54rZD4AZuZq7FDjDUly63LzzOwKbw/Sx1nnQ==" saltValue="MbbMqVpvedZmy9aO6n/uqA==" spinCount="100000" sheet="1" selectLockedCells="1"/>
  <mergeCells count="34">
    <mergeCell ref="C36:D36"/>
    <mergeCell ref="C35:E35"/>
    <mergeCell ref="A1:C1"/>
    <mergeCell ref="C13:D13"/>
    <mergeCell ref="C9:D9"/>
    <mergeCell ref="C10:D10"/>
    <mergeCell ref="C32:E32"/>
    <mergeCell ref="C33:E33"/>
    <mergeCell ref="C34:E34"/>
    <mergeCell ref="C21:D21"/>
    <mergeCell ref="C22:E22"/>
    <mergeCell ref="C23:D23"/>
    <mergeCell ref="C3:D3"/>
    <mergeCell ref="C4:D4"/>
    <mergeCell ref="C5:D5"/>
    <mergeCell ref="C6:D6"/>
    <mergeCell ref="C25:D25"/>
    <mergeCell ref="A10:B10"/>
    <mergeCell ref="C24:D24"/>
    <mergeCell ref="C31:E31"/>
    <mergeCell ref="F10:K10"/>
    <mergeCell ref="C8:D8"/>
    <mergeCell ref="L12:L13"/>
    <mergeCell ref="C12:D12"/>
    <mergeCell ref="C20:D20"/>
    <mergeCell ref="C16:D16"/>
    <mergeCell ref="C18:D18"/>
    <mergeCell ref="C19:D19"/>
    <mergeCell ref="F12:K12"/>
    <mergeCell ref="F4:K4"/>
    <mergeCell ref="F3:K3"/>
    <mergeCell ref="F2:K2"/>
    <mergeCell ref="F1:K1"/>
    <mergeCell ref="C7:D7"/>
  </mergeCells>
  <phoneticPr fontId="0" type="noConversion"/>
  <pageMargins left="0.55000000000000004" right="0.45" top="0.46" bottom="0.44" header="0.4" footer="0.36"/>
  <pageSetup scale="3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34"/>
  <sheetViews>
    <sheetView workbookViewId="0">
      <selection activeCell="D23" sqref="D23"/>
    </sheetView>
  </sheetViews>
  <sheetFormatPr defaultColWidth="9.1796875" defaultRowHeight="13"/>
  <cols>
    <col min="1" max="1" width="2.453125" style="37" customWidth="1"/>
    <col min="2" max="2" width="39" style="37" customWidth="1"/>
    <col min="3" max="3" width="36.54296875" style="37" customWidth="1"/>
    <col min="4" max="4" width="50.26953125" style="37" customWidth="1"/>
    <col min="5" max="5" width="14.26953125" style="37" customWidth="1"/>
    <col min="6" max="6" width="9.26953125" style="37" customWidth="1"/>
    <col min="7" max="7" width="10.81640625" style="37" hidden="1" customWidth="1"/>
    <col min="8" max="8" width="14.1796875" style="37" hidden="1" customWidth="1"/>
    <col min="9" max="9" width="11.81640625" style="37" hidden="1" customWidth="1"/>
    <col min="10" max="10" width="11.54296875" style="37" customWidth="1"/>
    <col min="11" max="11" width="14.54296875" style="37" hidden="1" customWidth="1"/>
    <col min="12" max="12" width="9.453125" style="37" hidden="1" customWidth="1"/>
    <col min="13" max="13" width="14.81640625" style="38" hidden="1" customWidth="1"/>
    <col min="14" max="14" width="14.81640625" style="37" hidden="1" customWidth="1"/>
    <col min="15" max="15" width="7.453125" style="37" bestFit="1" customWidth="1"/>
    <col min="16" max="16" width="9.1796875" style="37" hidden="1" customWidth="1"/>
    <col min="17" max="16384" width="9.1796875" style="37"/>
  </cols>
  <sheetData>
    <row r="1" spans="2:16" ht="15.75" customHeight="1">
      <c r="C1" s="98"/>
      <c r="D1" s="98"/>
      <c r="E1" s="98"/>
      <c r="F1" s="98"/>
      <c r="G1" s="99" t="s">
        <v>23</v>
      </c>
      <c r="H1" s="98"/>
      <c r="I1" s="98"/>
      <c r="J1" s="98"/>
      <c r="K1" s="98"/>
      <c r="L1" s="98"/>
    </row>
    <row r="2" spans="2:16" ht="15.75" customHeight="1">
      <c r="B2" s="100" t="s">
        <v>86</v>
      </c>
      <c r="D2" s="98"/>
      <c r="E2" s="98"/>
      <c r="F2" s="98"/>
      <c r="G2" s="99" t="s">
        <v>87</v>
      </c>
      <c r="H2" s="98"/>
      <c r="I2" s="98"/>
      <c r="J2" s="98"/>
      <c r="L2" s="101"/>
    </row>
    <row r="3" spans="2:16">
      <c r="B3" s="102"/>
      <c r="D3"/>
      <c r="E3"/>
      <c r="F3"/>
      <c r="G3" s="103" t="str">
        <f>'Schedule A'!F4</f>
        <v>FY 2027-2028</v>
      </c>
      <c r="H3"/>
      <c r="I3"/>
      <c r="J3"/>
      <c r="K3"/>
      <c r="L3" s="101"/>
    </row>
    <row r="4" spans="2:16">
      <c r="C4" s="101"/>
      <c r="D4" s="101"/>
      <c r="E4" s="101"/>
      <c r="F4" s="101"/>
      <c r="G4" s="104">
        <f>'Schedule A'!F5</f>
        <v>0</v>
      </c>
      <c r="H4" s="101"/>
      <c r="I4" s="101"/>
      <c r="J4" s="101"/>
      <c r="K4" s="101"/>
      <c r="L4" s="101"/>
    </row>
    <row r="5" spans="2:16">
      <c r="B5" s="105" t="s">
        <v>24</v>
      </c>
      <c r="C5" s="106"/>
      <c r="D5" s="106"/>
      <c r="E5" s="106"/>
      <c r="F5" s="106"/>
      <c r="G5" s="106"/>
    </row>
    <row r="6" spans="2:16" ht="13.5" customHeight="1"/>
    <row r="7" spans="2:16" ht="25.5" customHeight="1" thickBot="1">
      <c r="B7" s="107" t="s">
        <v>25</v>
      </c>
      <c r="C7" s="445" t="str">
        <f>IF('Schedule A'!C3="","",'Schedule A'!C3)</f>
        <v/>
      </c>
      <c r="D7" s="445"/>
      <c r="E7" s="445"/>
      <c r="F7" s="445"/>
      <c r="G7" s="445"/>
      <c r="H7" s="445"/>
      <c r="K7" s="108"/>
      <c r="M7" s="109"/>
      <c r="N7" s="109"/>
    </row>
    <row r="8" spans="2:16" ht="13.5" customHeight="1">
      <c r="B8" s="446" t="s">
        <v>26</v>
      </c>
      <c r="C8" s="110"/>
      <c r="D8" s="110"/>
      <c r="E8" s="452" t="s">
        <v>281</v>
      </c>
      <c r="F8" s="455" t="s">
        <v>312</v>
      </c>
      <c r="G8" s="110" t="s">
        <v>29</v>
      </c>
      <c r="H8" s="110" t="s">
        <v>29</v>
      </c>
      <c r="I8" s="110" t="s">
        <v>30</v>
      </c>
      <c r="J8" s="110" t="s">
        <v>426</v>
      </c>
      <c r="K8" s="110" t="s">
        <v>31</v>
      </c>
      <c r="L8" s="110" t="s">
        <v>32</v>
      </c>
      <c r="M8" s="449" t="s">
        <v>79</v>
      </c>
      <c r="N8" s="449" t="s">
        <v>80</v>
      </c>
      <c r="O8" s="81"/>
    </row>
    <row r="9" spans="2:16" ht="13.5" customHeight="1">
      <c r="B9" s="447"/>
      <c r="C9" s="111" t="s">
        <v>27</v>
      </c>
      <c r="D9" s="111" t="s">
        <v>28</v>
      </c>
      <c r="E9" s="453"/>
      <c r="F9" s="456"/>
      <c r="G9" s="111" t="s">
        <v>35</v>
      </c>
      <c r="H9" s="111" t="s">
        <v>35</v>
      </c>
      <c r="I9" s="111" t="s">
        <v>36</v>
      </c>
      <c r="J9" s="111" t="s">
        <v>66</v>
      </c>
      <c r="K9" s="111" t="s">
        <v>37</v>
      </c>
      <c r="L9" s="111" t="s">
        <v>64</v>
      </c>
      <c r="M9" s="450"/>
      <c r="N9" s="450"/>
      <c r="O9" s="81"/>
      <c r="P9" s="37" t="s">
        <v>97</v>
      </c>
    </row>
    <row r="10" spans="2:16" ht="13.5" customHeight="1">
      <c r="B10" s="447"/>
      <c r="C10" s="111" t="s">
        <v>33</v>
      </c>
      <c r="D10" s="111" t="s">
        <v>34</v>
      </c>
      <c r="E10" s="453"/>
      <c r="F10" s="456"/>
      <c r="G10" s="112" t="s">
        <v>38</v>
      </c>
      <c r="H10" s="111" t="s">
        <v>39</v>
      </c>
      <c r="I10" s="111" t="s">
        <v>40</v>
      </c>
      <c r="J10" s="111" t="s">
        <v>427</v>
      </c>
      <c r="K10" s="111" t="s">
        <v>42</v>
      </c>
      <c r="L10" s="111" t="s">
        <v>41</v>
      </c>
      <c r="M10" s="450"/>
      <c r="N10" s="450"/>
      <c r="P10" s="37" t="s">
        <v>98</v>
      </c>
    </row>
    <row r="11" spans="2:16" ht="13.5" customHeight="1">
      <c r="B11" s="448"/>
      <c r="C11" s="111"/>
      <c r="D11" s="111"/>
      <c r="E11" s="454"/>
      <c r="F11" s="457"/>
      <c r="G11" s="111" t="s">
        <v>306</v>
      </c>
      <c r="H11" s="111" t="s">
        <v>307</v>
      </c>
      <c r="I11" s="111" t="s">
        <v>307</v>
      </c>
      <c r="J11" s="111"/>
      <c r="K11" s="111" t="s">
        <v>44</v>
      </c>
      <c r="L11" s="111" t="s">
        <v>43</v>
      </c>
      <c r="M11" s="451"/>
      <c r="N11" s="451"/>
    </row>
    <row r="12" spans="2:16" ht="14">
      <c r="B12" s="91"/>
      <c r="C12" s="92"/>
      <c r="D12" s="92"/>
      <c r="E12" s="283" t="s">
        <v>282</v>
      </c>
      <c r="F12" s="317"/>
      <c r="G12" s="374"/>
      <c r="H12" s="374"/>
      <c r="I12" s="374"/>
      <c r="J12" s="75"/>
      <c r="K12" s="376"/>
      <c r="L12" s="377"/>
      <c r="M12" s="378"/>
      <c r="N12" s="378"/>
      <c r="O12" s="80"/>
      <c r="P12" s="37">
        <f t="shared" ref="P12:P30" si="0">IF(OR(F12="D",F12="C"),J12,0)</f>
        <v>0</v>
      </c>
    </row>
    <row r="13" spans="2:16" ht="14">
      <c r="B13" s="92"/>
      <c r="C13" s="92"/>
      <c r="D13" s="92"/>
      <c r="E13" s="283" t="s">
        <v>282</v>
      </c>
      <c r="F13" s="317"/>
      <c r="G13" s="375"/>
      <c r="H13" s="374"/>
      <c r="I13" s="374"/>
      <c r="J13" s="75"/>
      <c r="K13" s="376"/>
      <c r="L13" s="377"/>
      <c r="M13" s="378"/>
      <c r="N13" s="378"/>
      <c r="O13" s="80"/>
      <c r="P13" s="37">
        <f t="shared" si="0"/>
        <v>0</v>
      </c>
    </row>
    <row r="14" spans="2:16" ht="14">
      <c r="B14" s="92"/>
      <c r="C14" s="92"/>
      <c r="D14" s="92"/>
      <c r="E14" s="283" t="s">
        <v>282</v>
      </c>
      <c r="F14" s="317"/>
      <c r="G14" s="375"/>
      <c r="H14" s="374"/>
      <c r="I14" s="374"/>
      <c r="J14" s="75"/>
      <c r="K14" s="376"/>
      <c r="L14" s="377"/>
      <c r="M14" s="378"/>
      <c r="N14" s="378"/>
      <c r="O14" s="80"/>
      <c r="P14" s="37">
        <f t="shared" si="0"/>
        <v>0</v>
      </c>
    </row>
    <row r="15" spans="2:16" ht="14">
      <c r="B15" s="92"/>
      <c r="C15" s="92"/>
      <c r="D15" s="92"/>
      <c r="E15" s="283" t="s">
        <v>282</v>
      </c>
      <c r="F15" s="317"/>
      <c r="G15" s="374"/>
      <c r="H15" s="374"/>
      <c r="I15" s="374"/>
      <c r="J15" s="75"/>
      <c r="K15" s="376"/>
      <c r="L15" s="377"/>
      <c r="M15" s="378"/>
      <c r="N15" s="378"/>
      <c r="O15" s="80"/>
      <c r="P15" s="37">
        <f t="shared" si="0"/>
        <v>0</v>
      </c>
    </row>
    <row r="16" spans="2:16" ht="14">
      <c r="B16" s="93"/>
      <c r="C16" s="92"/>
      <c r="D16" s="92"/>
      <c r="E16" s="283" t="s">
        <v>282</v>
      </c>
      <c r="F16" s="317"/>
      <c r="G16" s="374"/>
      <c r="H16" s="374"/>
      <c r="I16" s="374"/>
      <c r="J16" s="75"/>
      <c r="K16" s="376"/>
      <c r="L16" s="377"/>
      <c r="M16" s="378"/>
      <c r="N16" s="378"/>
      <c r="O16" s="80"/>
      <c r="P16" s="37">
        <f t="shared" si="0"/>
        <v>0</v>
      </c>
    </row>
    <row r="17" spans="2:16" ht="14">
      <c r="B17" s="93"/>
      <c r="C17" s="92"/>
      <c r="D17" s="92"/>
      <c r="E17" s="283" t="s">
        <v>282</v>
      </c>
      <c r="F17" s="317"/>
      <c r="G17" s="374"/>
      <c r="H17" s="374"/>
      <c r="I17" s="374"/>
      <c r="J17" s="75"/>
      <c r="K17" s="376"/>
      <c r="L17" s="377"/>
      <c r="M17" s="378"/>
      <c r="N17" s="378"/>
      <c r="O17" s="80"/>
      <c r="P17" s="37">
        <f t="shared" si="0"/>
        <v>0</v>
      </c>
    </row>
    <row r="18" spans="2:16" ht="14">
      <c r="B18" s="93"/>
      <c r="C18" s="92"/>
      <c r="D18" s="92"/>
      <c r="E18" s="283" t="s">
        <v>282</v>
      </c>
      <c r="F18" s="317"/>
      <c r="G18" s="374"/>
      <c r="H18" s="374"/>
      <c r="I18" s="374"/>
      <c r="J18" s="75"/>
      <c r="K18" s="376"/>
      <c r="L18" s="377"/>
      <c r="M18" s="378"/>
      <c r="N18" s="378"/>
      <c r="O18" s="80"/>
      <c r="P18" s="37">
        <f t="shared" si="0"/>
        <v>0</v>
      </c>
    </row>
    <row r="19" spans="2:16" ht="14">
      <c r="B19" s="94"/>
      <c r="C19" s="92"/>
      <c r="D19" s="92"/>
      <c r="E19" s="283" t="s">
        <v>282</v>
      </c>
      <c r="F19" s="317"/>
      <c r="G19" s="374"/>
      <c r="H19" s="374"/>
      <c r="I19" s="374"/>
      <c r="J19" s="75"/>
      <c r="K19" s="376"/>
      <c r="L19" s="377"/>
      <c r="M19" s="378"/>
      <c r="N19" s="378"/>
      <c r="O19" s="80"/>
      <c r="P19" s="37">
        <f t="shared" si="0"/>
        <v>0</v>
      </c>
    </row>
    <row r="20" spans="2:16" ht="14">
      <c r="B20" s="220"/>
      <c r="C20" s="202"/>
      <c r="D20" s="92"/>
      <c r="E20" s="283" t="s">
        <v>282</v>
      </c>
      <c r="F20" s="317"/>
      <c r="G20" s="374"/>
      <c r="H20" s="374"/>
      <c r="I20" s="374"/>
      <c r="J20" s="75"/>
      <c r="K20" s="376"/>
      <c r="L20" s="377"/>
      <c r="M20" s="378"/>
      <c r="N20" s="378"/>
      <c r="O20" s="80"/>
      <c r="P20" s="37">
        <f t="shared" si="0"/>
        <v>0</v>
      </c>
    </row>
    <row r="21" spans="2:16" ht="14">
      <c r="B21" s="220"/>
      <c r="C21" s="202"/>
      <c r="D21" s="92"/>
      <c r="E21" s="283" t="s">
        <v>282</v>
      </c>
      <c r="F21" s="317"/>
      <c r="G21" s="374"/>
      <c r="H21" s="374"/>
      <c r="I21" s="374"/>
      <c r="J21" s="75"/>
      <c r="K21" s="376"/>
      <c r="L21" s="377"/>
      <c r="M21" s="378"/>
      <c r="N21" s="378"/>
      <c r="O21" s="80"/>
      <c r="P21" s="37">
        <f t="shared" si="0"/>
        <v>0</v>
      </c>
    </row>
    <row r="22" spans="2:16" ht="14">
      <c r="B22" s="220"/>
      <c r="C22" s="202"/>
      <c r="D22" s="92"/>
      <c r="E22" s="283" t="s">
        <v>282</v>
      </c>
      <c r="F22" s="317"/>
      <c r="G22" s="374"/>
      <c r="H22" s="374"/>
      <c r="I22" s="374"/>
      <c r="J22" s="75"/>
      <c r="K22" s="376"/>
      <c r="L22" s="377"/>
      <c r="M22" s="378"/>
      <c r="N22" s="378"/>
      <c r="O22" s="80"/>
      <c r="P22" s="37">
        <f t="shared" si="0"/>
        <v>0</v>
      </c>
    </row>
    <row r="23" spans="2:16" ht="14">
      <c r="B23" s="220"/>
      <c r="C23" s="202"/>
      <c r="D23" s="92"/>
      <c r="E23" s="283" t="s">
        <v>282</v>
      </c>
      <c r="F23" s="317"/>
      <c r="G23" s="374"/>
      <c r="H23" s="374"/>
      <c r="I23" s="374"/>
      <c r="J23" s="75"/>
      <c r="K23" s="376"/>
      <c r="L23" s="377"/>
      <c r="M23" s="378"/>
      <c r="N23" s="378"/>
      <c r="O23" s="80"/>
      <c r="P23" s="37">
        <f t="shared" si="0"/>
        <v>0</v>
      </c>
    </row>
    <row r="24" spans="2:16" ht="14">
      <c r="B24" s="220"/>
      <c r="C24" s="202"/>
      <c r="D24" s="92"/>
      <c r="E24" s="283" t="s">
        <v>282</v>
      </c>
      <c r="F24" s="317"/>
      <c r="G24" s="374"/>
      <c r="H24" s="374"/>
      <c r="I24" s="374"/>
      <c r="J24" s="75"/>
      <c r="K24" s="376"/>
      <c r="L24" s="377"/>
      <c r="M24" s="378"/>
      <c r="N24" s="378"/>
      <c r="O24" s="80"/>
      <c r="P24" s="37">
        <f t="shared" si="0"/>
        <v>0</v>
      </c>
    </row>
    <row r="25" spans="2:16" ht="14">
      <c r="B25" s="220"/>
      <c r="C25" s="202"/>
      <c r="D25" s="92"/>
      <c r="E25" s="283" t="s">
        <v>282</v>
      </c>
      <c r="F25" s="317"/>
      <c r="G25" s="374"/>
      <c r="H25" s="374"/>
      <c r="I25" s="374"/>
      <c r="J25" s="75"/>
      <c r="K25" s="376"/>
      <c r="L25" s="377"/>
      <c r="M25" s="378"/>
      <c r="N25" s="378"/>
      <c r="O25" s="80"/>
      <c r="P25" s="37">
        <f t="shared" si="0"/>
        <v>0</v>
      </c>
    </row>
    <row r="26" spans="2:16" ht="14">
      <c r="B26" s="92"/>
      <c r="C26" s="92"/>
      <c r="D26" s="92"/>
      <c r="E26" s="283" t="s">
        <v>282</v>
      </c>
      <c r="F26" s="317"/>
      <c r="G26" s="374"/>
      <c r="H26" s="374"/>
      <c r="I26" s="374"/>
      <c r="J26" s="75"/>
      <c r="K26" s="376"/>
      <c r="L26" s="377"/>
      <c r="M26" s="378"/>
      <c r="N26" s="378"/>
      <c r="O26" s="80"/>
      <c r="P26" s="37">
        <f t="shared" si="0"/>
        <v>0</v>
      </c>
    </row>
    <row r="27" spans="2:16" ht="14">
      <c r="B27" s="92"/>
      <c r="C27" s="92"/>
      <c r="D27" s="92"/>
      <c r="E27" s="283" t="s">
        <v>282</v>
      </c>
      <c r="F27" s="317"/>
      <c r="G27" s="374"/>
      <c r="H27" s="374"/>
      <c r="I27" s="374"/>
      <c r="J27" s="75"/>
      <c r="K27" s="376"/>
      <c r="L27" s="377"/>
      <c r="M27" s="378"/>
      <c r="N27" s="378"/>
      <c r="O27" s="80"/>
      <c r="P27" s="37">
        <f t="shared" si="0"/>
        <v>0</v>
      </c>
    </row>
    <row r="28" spans="2:16" ht="14">
      <c r="B28" s="92"/>
      <c r="C28" s="92"/>
      <c r="D28" s="92"/>
      <c r="E28" s="283" t="s">
        <v>282</v>
      </c>
      <c r="F28" s="317"/>
      <c r="G28" s="374"/>
      <c r="H28" s="374"/>
      <c r="I28" s="374"/>
      <c r="J28" s="75"/>
      <c r="K28" s="376"/>
      <c r="L28" s="377"/>
      <c r="M28" s="378"/>
      <c r="N28" s="378"/>
      <c r="O28" s="80"/>
      <c r="P28" s="37">
        <f t="shared" si="0"/>
        <v>0</v>
      </c>
    </row>
    <row r="29" spans="2:16" ht="14">
      <c r="B29" s="92"/>
      <c r="C29" s="92"/>
      <c r="D29" s="92"/>
      <c r="E29" s="283" t="s">
        <v>282</v>
      </c>
      <c r="F29" s="317"/>
      <c r="G29" s="374"/>
      <c r="H29" s="374"/>
      <c r="I29" s="374"/>
      <c r="J29" s="75"/>
      <c r="K29" s="376"/>
      <c r="L29" s="377"/>
      <c r="M29" s="378"/>
      <c r="N29" s="378"/>
      <c r="O29" s="80"/>
      <c r="P29" s="37">
        <f t="shared" si="0"/>
        <v>0</v>
      </c>
    </row>
    <row r="30" spans="2:16" ht="14">
      <c r="B30" s="92"/>
      <c r="C30" s="92"/>
      <c r="D30" s="92"/>
      <c r="E30" s="283" t="s">
        <v>282</v>
      </c>
      <c r="F30" s="317"/>
      <c r="G30" s="374"/>
      <c r="H30" s="374"/>
      <c r="I30" s="374"/>
      <c r="J30" s="75"/>
      <c r="K30" s="376"/>
      <c r="L30" s="377"/>
      <c r="M30" s="378"/>
      <c r="N30" s="378"/>
      <c r="O30" s="80"/>
      <c r="P30" s="37">
        <f t="shared" si="0"/>
        <v>0</v>
      </c>
    </row>
    <row r="31" spans="2:16">
      <c r="E31" s="40"/>
      <c r="F31" s="40"/>
      <c r="G31" s="118"/>
      <c r="H31" s="39"/>
      <c r="K31" s="379"/>
      <c r="L31" s="380">
        <f>SUM(L12:L30)</f>
        <v>0</v>
      </c>
      <c r="M31" s="380"/>
      <c r="N31" s="380"/>
      <c r="P31" s="37">
        <f>SUM(P12:P30)</f>
        <v>0</v>
      </c>
    </row>
    <row r="32" spans="2:16" hidden="1">
      <c r="E32" s="40"/>
      <c r="F32" s="40"/>
      <c r="J32" s="387" t="s">
        <v>13</v>
      </c>
      <c r="K32" s="381"/>
      <c r="L32" s="382"/>
      <c r="M32" s="383"/>
      <c r="N32" s="383"/>
      <c r="P32"/>
    </row>
    <row r="33" spans="2:16" hidden="1">
      <c r="B33" s="35"/>
      <c r="C33" s="121"/>
      <c r="D33" s="121"/>
      <c r="J33" s="388" t="s">
        <v>45</v>
      </c>
      <c r="K33" s="384"/>
      <c r="L33" s="385"/>
      <c r="M33" s="383"/>
      <c r="N33" s="386"/>
      <c r="P33"/>
    </row>
    <row r="34" spans="2:16">
      <c r="B34"/>
      <c r="C34" s="121"/>
      <c r="D34" s="121"/>
      <c r="J34" s="124"/>
      <c r="K34" s="39"/>
      <c r="L34" s="39"/>
      <c r="N34" s="38"/>
      <c r="P34"/>
    </row>
  </sheetData>
  <sheetProtection algorithmName="SHA-512" hashValue="0jdez/YfmWaWPXk3MlTenXaoc6BMjrw1YCcOE+gJNzhARf/wpxMGhZVJvJJZQ5SR8iOHCeJHZ70/aUr/26P91A==" saltValue="FCxBRv2oBX3ohF/PrSdEzw==" spinCount="100000" sheet="1" insertRows="0" selectLockedCells="1"/>
  <dataConsolidate/>
  <mergeCells count="6">
    <mergeCell ref="C7:H7"/>
    <mergeCell ref="B8:B11"/>
    <mergeCell ref="M8:M11"/>
    <mergeCell ref="N8:N11"/>
    <mergeCell ref="E8:E11"/>
    <mergeCell ref="F8:F11"/>
  </mergeCells>
  <phoneticPr fontId="0" type="noConversion"/>
  <dataValidations count="1">
    <dataValidation showInputMessage="1" showErrorMessage="1" sqref="C12:C30" xr:uid="{5988962E-8683-46E3-A2F2-A81573FEF20B}"/>
  </dataValidations>
  <pageMargins left="0.45" right="0.45" top="0.72" bottom="0.66" header="0.5" footer="0.5"/>
  <pageSetup scale="81" orientation="landscape" cellComments="asDisplayed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72952531-A4B9-419E-9C90-4F992E91E515}">
          <x14:formula1>
            <xm:f>'List of Values'!$D$2:$D$3</xm:f>
          </x14:formula1>
          <xm:sqref>F12:F30</xm:sqref>
        </x14:dataValidation>
        <x14:dataValidation type="list" showInputMessage="1" showErrorMessage="1" promptTitle="Position/Title" prompt="The position title must be chosen fron the drop-down list.  " xr:uid="{720C408D-52BA-48DF-B262-6C313B67461C}">
          <x14:formula1>
            <xm:f>RATES!$A$4:$A$19</xm:f>
          </x14:formula1>
          <xm:sqref>D12:D30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03EBF-25CE-4926-B050-52778F40C0AF}">
  <sheetPr>
    <pageSetUpPr fitToPage="1"/>
  </sheetPr>
  <dimension ref="B1:N34"/>
  <sheetViews>
    <sheetView workbookViewId="0"/>
  </sheetViews>
  <sheetFormatPr defaultColWidth="9.1796875" defaultRowHeight="13"/>
  <cols>
    <col min="1" max="1" width="2.453125" style="37" customWidth="1"/>
    <col min="2" max="2" width="24.54296875" style="37" customWidth="1"/>
    <col min="3" max="3" width="11.7265625" style="37" bestFit="1" customWidth="1"/>
    <col min="4" max="4" width="29.7265625" style="37" bestFit="1" customWidth="1"/>
    <col min="5" max="5" width="9.54296875" style="37" customWidth="1"/>
    <col min="6" max="6" width="10.81640625" style="37" customWidth="1"/>
    <col min="7" max="7" width="14.1796875" style="37" bestFit="1" customWidth="1"/>
    <col min="8" max="8" width="11.81640625" style="37" customWidth="1"/>
    <col min="9" max="9" width="9.453125" style="37" customWidth="1"/>
    <col min="10" max="10" width="14.54296875" style="37" customWidth="1"/>
    <col min="11" max="11" width="9.453125" style="37" bestFit="1" customWidth="1"/>
    <col min="12" max="12" width="14.81640625" style="38" customWidth="1"/>
    <col min="13" max="13" width="14.81640625" style="37" customWidth="1"/>
    <col min="14" max="14" width="7.453125" style="37" bestFit="1" customWidth="1"/>
    <col min="15" max="16384" width="9.1796875" style="37"/>
  </cols>
  <sheetData>
    <row r="1" spans="2:14" ht="15.75" customHeight="1">
      <c r="C1" s="98"/>
      <c r="D1" s="98"/>
      <c r="E1" s="98"/>
      <c r="F1" s="99" t="s">
        <v>23</v>
      </c>
      <c r="G1" s="98"/>
      <c r="H1" s="98"/>
      <c r="I1" s="98"/>
      <c r="J1" s="98"/>
      <c r="K1" s="98"/>
    </row>
    <row r="2" spans="2:14" ht="15.75" customHeight="1">
      <c r="B2" s="100" t="s">
        <v>86</v>
      </c>
      <c r="D2" s="98"/>
      <c r="E2" s="98"/>
      <c r="F2" s="99" t="s">
        <v>87</v>
      </c>
      <c r="G2" s="98"/>
      <c r="H2" s="98"/>
      <c r="I2" s="98"/>
      <c r="K2" s="101"/>
    </row>
    <row r="3" spans="2:14">
      <c r="B3" s="102"/>
      <c r="D3"/>
      <c r="E3"/>
      <c r="F3" s="103" t="str">
        <f>'Schedule A'!F4</f>
        <v>FY 2027-2028</v>
      </c>
      <c r="G3"/>
      <c r="H3"/>
      <c r="I3"/>
      <c r="J3"/>
      <c r="K3" s="101"/>
    </row>
    <row r="4" spans="2:14">
      <c r="C4" s="101"/>
      <c r="D4" s="101"/>
      <c r="E4" s="101"/>
      <c r="F4" s="104">
        <f>'Schedule A'!F5</f>
        <v>0</v>
      </c>
      <c r="G4" s="101"/>
      <c r="H4" s="101"/>
      <c r="I4" s="101"/>
      <c r="J4" s="101"/>
      <c r="K4" s="101"/>
    </row>
    <row r="5" spans="2:14">
      <c r="B5" s="105" t="s">
        <v>24</v>
      </c>
      <c r="C5" s="106"/>
      <c r="D5" s="106"/>
      <c r="E5" s="106"/>
      <c r="F5" s="106"/>
    </row>
    <row r="6" spans="2:14" ht="13.5" customHeight="1"/>
    <row r="7" spans="2:14" ht="25.5" customHeight="1" thickBot="1">
      <c r="B7" s="107" t="s">
        <v>25</v>
      </c>
      <c r="C7" s="445" t="str">
        <f>IF('Schedule A'!C3="","",'Schedule A'!C3)</f>
        <v/>
      </c>
      <c r="D7" s="445"/>
      <c r="E7" s="445"/>
      <c r="F7" s="445"/>
      <c r="G7" s="445"/>
      <c r="J7" s="108"/>
      <c r="L7" s="109"/>
      <c r="M7" s="109"/>
    </row>
    <row r="8" spans="2:14" ht="13.5" customHeight="1">
      <c r="B8" s="446" t="s">
        <v>26</v>
      </c>
      <c r="C8" s="110"/>
      <c r="D8" s="321"/>
      <c r="E8" s="455" t="s">
        <v>313</v>
      </c>
      <c r="F8" s="321" t="s">
        <v>29</v>
      </c>
      <c r="G8" s="321" t="s">
        <v>29</v>
      </c>
      <c r="H8" s="110" t="s">
        <v>30</v>
      </c>
      <c r="I8" s="110" t="s">
        <v>65</v>
      </c>
      <c r="J8" s="110" t="s">
        <v>31</v>
      </c>
      <c r="K8" s="110" t="s">
        <v>32</v>
      </c>
      <c r="L8" s="449" t="s">
        <v>79</v>
      </c>
      <c r="M8" s="449" t="s">
        <v>80</v>
      </c>
      <c r="N8" s="81"/>
    </row>
    <row r="9" spans="2:14" ht="13.5" customHeight="1">
      <c r="B9" s="447"/>
      <c r="C9" s="111" t="s">
        <v>27</v>
      </c>
      <c r="D9" s="111" t="s">
        <v>28</v>
      </c>
      <c r="E9" s="456"/>
      <c r="F9" s="111" t="s">
        <v>35</v>
      </c>
      <c r="G9" s="111" t="s">
        <v>35</v>
      </c>
      <c r="H9" s="111" t="s">
        <v>36</v>
      </c>
      <c r="I9" s="111" t="s">
        <v>66</v>
      </c>
      <c r="J9" s="111" t="s">
        <v>37</v>
      </c>
      <c r="K9" s="111" t="s">
        <v>64</v>
      </c>
      <c r="L9" s="450"/>
      <c r="M9" s="450"/>
      <c r="N9" s="81"/>
    </row>
    <row r="10" spans="2:14" ht="13.5" customHeight="1">
      <c r="B10" s="447"/>
      <c r="C10" s="111" t="s">
        <v>33</v>
      </c>
      <c r="D10" s="111" t="s">
        <v>34</v>
      </c>
      <c r="E10" s="456"/>
      <c r="F10" s="112" t="s">
        <v>38</v>
      </c>
      <c r="G10" s="111" t="s">
        <v>39</v>
      </c>
      <c r="H10" s="111" t="s">
        <v>40</v>
      </c>
      <c r="I10" s="111" t="s">
        <v>41</v>
      </c>
      <c r="J10" s="111" t="s">
        <v>42</v>
      </c>
      <c r="K10" s="111" t="s">
        <v>41</v>
      </c>
      <c r="L10" s="450"/>
      <c r="M10" s="450"/>
    </row>
    <row r="11" spans="2:14" ht="13.5" customHeight="1">
      <c r="B11" s="448"/>
      <c r="C11" s="111"/>
      <c r="D11" s="322"/>
      <c r="E11" s="457"/>
      <c r="F11" s="322" t="s">
        <v>306</v>
      </c>
      <c r="G11" s="322" t="s">
        <v>307</v>
      </c>
      <c r="H11" s="111" t="s">
        <v>307</v>
      </c>
      <c r="I11" s="111" t="s">
        <v>43</v>
      </c>
      <c r="J11" s="111" t="s">
        <v>44</v>
      </c>
      <c r="K11" s="111" t="s">
        <v>43</v>
      </c>
      <c r="L11" s="451"/>
      <c r="M11" s="451"/>
    </row>
    <row r="12" spans="2:14" ht="14">
      <c r="B12" s="91"/>
      <c r="C12" s="92"/>
      <c r="D12" s="318"/>
      <c r="E12" s="323"/>
      <c r="F12" s="319"/>
      <c r="G12" s="320"/>
      <c r="H12" s="113">
        <f t="shared" ref="H12:H17" si="0">SUM(F12:G12)</f>
        <v>0</v>
      </c>
      <c r="I12" s="75"/>
      <c r="J12" s="113">
        <f>ROUND(H12*I12,0)</f>
        <v>0</v>
      </c>
      <c r="K12" s="114">
        <f>2080*I12</f>
        <v>0</v>
      </c>
      <c r="L12" s="115">
        <f>ROUND($I12*F12,0)</f>
        <v>0</v>
      </c>
      <c r="M12" s="115">
        <f>ROUND($I12*G12,0)</f>
        <v>0</v>
      </c>
      <c r="N12" s="80"/>
    </row>
    <row r="13" spans="2:14" ht="14">
      <c r="B13" s="92"/>
      <c r="C13" s="92"/>
      <c r="D13" s="92"/>
      <c r="E13" s="317"/>
      <c r="F13" s="74"/>
      <c r="G13" s="74"/>
      <c r="H13" s="113">
        <f t="shared" si="0"/>
        <v>0</v>
      </c>
      <c r="I13" s="75"/>
      <c r="J13" s="113">
        <f t="shared" ref="J13:J30" si="1">ROUND(H13*I13,0)</f>
        <v>0</v>
      </c>
      <c r="K13" s="114">
        <f t="shared" ref="K13:K30" si="2">2080*I13</f>
        <v>0</v>
      </c>
      <c r="L13" s="115">
        <f t="shared" ref="L13:M30" si="3">ROUND($I13*F13,0)</f>
        <v>0</v>
      </c>
      <c r="M13" s="115">
        <f t="shared" si="3"/>
        <v>0</v>
      </c>
      <c r="N13" s="80"/>
    </row>
    <row r="14" spans="2:14" ht="14">
      <c r="B14" s="92"/>
      <c r="C14" s="92"/>
      <c r="D14" s="92"/>
      <c r="E14" s="317"/>
      <c r="F14" s="74"/>
      <c r="G14" s="74"/>
      <c r="H14" s="113">
        <f t="shared" si="0"/>
        <v>0</v>
      </c>
      <c r="I14" s="75"/>
      <c r="J14" s="113">
        <f t="shared" si="1"/>
        <v>0</v>
      </c>
      <c r="K14" s="114">
        <f t="shared" si="2"/>
        <v>0</v>
      </c>
      <c r="L14" s="115">
        <f t="shared" si="3"/>
        <v>0</v>
      </c>
      <c r="M14" s="115">
        <f t="shared" si="3"/>
        <v>0</v>
      </c>
      <c r="N14" s="80"/>
    </row>
    <row r="15" spans="2:14" ht="14">
      <c r="B15" s="92"/>
      <c r="C15" s="92"/>
      <c r="D15" s="92"/>
      <c r="E15" s="317"/>
      <c r="F15" s="74"/>
      <c r="G15" s="74"/>
      <c r="H15" s="113">
        <f t="shared" si="0"/>
        <v>0</v>
      </c>
      <c r="I15" s="75"/>
      <c r="J15" s="113">
        <f t="shared" si="1"/>
        <v>0</v>
      </c>
      <c r="K15" s="114">
        <f t="shared" si="2"/>
        <v>0</v>
      </c>
      <c r="L15" s="115">
        <f t="shared" si="3"/>
        <v>0</v>
      </c>
      <c r="M15" s="115">
        <f t="shared" si="3"/>
        <v>0</v>
      </c>
      <c r="N15" s="80"/>
    </row>
    <row r="16" spans="2:14" ht="14">
      <c r="B16" s="93"/>
      <c r="C16" s="92"/>
      <c r="D16" s="92"/>
      <c r="E16" s="317"/>
      <c r="F16" s="74"/>
      <c r="G16" s="74"/>
      <c r="H16" s="113">
        <f t="shared" si="0"/>
        <v>0</v>
      </c>
      <c r="I16" s="75"/>
      <c r="J16" s="113">
        <f t="shared" si="1"/>
        <v>0</v>
      </c>
      <c r="K16" s="114">
        <f t="shared" si="2"/>
        <v>0</v>
      </c>
      <c r="L16" s="115">
        <f t="shared" si="3"/>
        <v>0</v>
      </c>
      <c r="M16" s="115">
        <f t="shared" si="3"/>
        <v>0</v>
      </c>
      <c r="N16" s="80"/>
    </row>
    <row r="17" spans="2:14" ht="14">
      <c r="B17" s="93"/>
      <c r="C17" s="92"/>
      <c r="D17" s="92"/>
      <c r="E17" s="317"/>
      <c r="F17" s="74"/>
      <c r="G17" s="74"/>
      <c r="H17" s="113">
        <f t="shared" si="0"/>
        <v>0</v>
      </c>
      <c r="I17" s="75"/>
      <c r="J17" s="113">
        <f t="shared" si="1"/>
        <v>0</v>
      </c>
      <c r="K17" s="114">
        <f t="shared" si="2"/>
        <v>0</v>
      </c>
      <c r="L17" s="115">
        <f t="shared" si="3"/>
        <v>0</v>
      </c>
      <c r="M17" s="115">
        <f t="shared" si="3"/>
        <v>0</v>
      </c>
      <c r="N17" s="80"/>
    </row>
    <row r="18" spans="2:14" ht="14">
      <c r="B18" s="93"/>
      <c r="C18" s="92"/>
      <c r="D18" s="92"/>
      <c r="E18" s="317"/>
      <c r="F18" s="74"/>
      <c r="G18" s="74"/>
      <c r="H18" s="113">
        <f t="shared" ref="H18:H30" si="4">SUM(F18:G18)</f>
        <v>0</v>
      </c>
      <c r="I18" s="75"/>
      <c r="J18" s="113">
        <f t="shared" si="1"/>
        <v>0</v>
      </c>
      <c r="K18" s="114">
        <f t="shared" si="2"/>
        <v>0</v>
      </c>
      <c r="L18" s="115">
        <f t="shared" si="3"/>
        <v>0</v>
      </c>
      <c r="M18" s="115">
        <f t="shared" si="3"/>
        <v>0</v>
      </c>
      <c r="N18" s="80"/>
    </row>
    <row r="19" spans="2:14" ht="14">
      <c r="B19" s="94"/>
      <c r="C19" s="92"/>
      <c r="D19" s="92"/>
      <c r="E19" s="317"/>
      <c r="F19" s="74"/>
      <c r="G19" s="74"/>
      <c r="H19" s="113">
        <f t="shared" si="4"/>
        <v>0</v>
      </c>
      <c r="I19" s="75"/>
      <c r="J19" s="113">
        <f t="shared" si="1"/>
        <v>0</v>
      </c>
      <c r="K19" s="114">
        <f t="shared" si="2"/>
        <v>0</v>
      </c>
      <c r="L19" s="115">
        <f t="shared" si="3"/>
        <v>0</v>
      </c>
      <c r="M19" s="115">
        <f t="shared" si="3"/>
        <v>0</v>
      </c>
      <c r="N19" s="80"/>
    </row>
    <row r="20" spans="2:14" ht="14">
      <c r="B20" s="92"/>
      <c r="C20" s="92"/>
      <c r="D20" s="92"/>
      <c r="E20" s="317"/>
      <c r="F20" s="74"/>
      <c r="G20" s="74"/>
      <c r="H20" s="113">
        <f t="shared" si="4"/>
        <v>0</v>
      </c>
      <c r="I20" s="75"/>
      <c r="J20" s="113">
        <f t="shared" si="1"/>
        <v>0</v>
      </c>
      <c r="K20" s="114">
        <f t="shared" si="2"/>
        <v>0</v>
      </c>
      <c r="L20" s="115">
        <f t="shared" si="3"/>
        <v>0</v>
      </c>
      <c r="M20" s="115">
        <f t="shared" si="3"/>
        <v>0</v>
      </c>
      <c r="N20" s="80"/>
    </row>
    <row r="21" spans="2:14" ht="14">
      <c r="B21" s="92"/>
      <c r="C21" s="92"/>
      <c r="D21" s="92"/>
      <c r="E21" s="317"/>
      <c r="F21" s="74"/>
      <c r="G21" s="74"/>
      <c r="H21" s="113">
        <f t="shared" si="4"/>
        <v>0</v>
      </c>
      <c r="I21" s="75"/>
      <c r="J21" s="113">
        <f t="shared" si="1"/>
        <v>0</v>
      </c>
      <c r="K21" s="114">
        <f t="shared" si="2"/>
        <v>0</v>
      </c>
      <c r="L21" s="115">
        <f t="shared" si="3"/>
        <v>0</v>
      </c>
      <c r="M21" s="115">
        <f t="shared" si="3"/>
        <v>0</v>
      </c>
      <c r="N21" s="80"/>
    </row>
    <row r="22" spans="2:14" ht="14">
      <c r="B22" s="92"/>
      <c r="C22" s="92"/>
      <c r="D22" s="92"/>
      <c r="E22" s="317"/>
      <c r="F22" s="74"/>
      <c r="G22" s="74"/>
      <c r="H22" s="113">
        <f t="shared" si="4"/>
        <v>0</v>
      </c>
      <c r="I22" s="75"/>
      <c r="J22" s="113">
        <f t="shared" si="1"/>
        <v>0</v>
      </c>
      <c r="K22" s="114">
        <f t="shared" si="2"/>
        <v>0</v>
      </c>
      <c r="L22" s="115">
        <f t="shared" si="3"/>
        <v>0</v>
      </c>
      <c r="M22" s="115">
        <f t="shared" si="3"/>
        <v>0</v>
      </c>
      <c r="N22" s="80"/>
    </row>
    <row r="23" spans="2:14" ht="14">
      <c r="B23" s="92"/>
      <c r="C23" s="92"/>
      <c r="D23" s="92"/>
      <c r="E23" s="317"/>
      <c r="F23" s="74"/>
      <c r="G23" s="74"/>
      <c r="H23" s="113">
        <f t="shared" si="4"/>
        <v>0</v>
      </c>
      <c r="I23" s="75"/>
      <c r="J23" s="113">
        <f t="shared" si="1"/>
        <v>0</v>
      </c>
      <c r="K23" s="114">
        <f t="shared" si="2"/>
        <v>0</v>
      </c>
      <c r="L23" s="115">
        <f t="shared" si="3"/>
        <v>0</v>
      </c>
      <c r="M23" s="115">
        <f t="shared" si="3"/>
        <v>0</v>
      </c>
      <c r="N23" s="80"/>
    </row>
    <row r="24" spans="2:14" ht="14">
      <c r="B24" s="92"/>
      <c r="C24" s="92"/>
      <c r="D24" s="92"/>
      <c r="E24" s="317"/>
      <c r="F24" s="74"/>
      <c r="G24" s="74"/>
      <c r="H24" s="113">
        <f t="shared" si="4"/>
        <v>0</v>
      </c>
      <c r="I24" s="75"/>
      <c r="J24" s="113">
        <f t="shared" si="1"/>
        <v>0</v>
      </c>
      <c r="K24" s="114">
        <f t="shared" si="2"/>
        <v>0</v>
      </c>
      <c r="L24" s="115">
        <f t="shared" si="3"/>
        <v>0</v>
      </c>
      <c r="M24" s="115">
        <f t="shared" si="3"/>
        <v>0</v>
      </c>
      <c r="N24" s="80"/>
    </row>
    <row r="25" spans="2:14" ht="14">
      <c r="B25" s="196"/>
      <c r="C25" s="196"/>
      <c r="D25" s="196"/>
      <c r="E25" s="317"/>
      <c r="F25" s="197"/>
      <c r="G25" s="197"/>
      <c r="H25" s="198">
        <f t="shared" si="4"/>
        <v>0</v>
      </c>
      <c r="I25" s="199"/>
      <c r="J25" s="198">
        <f t="shared" si="1"/>
        <v>0</v>
      </c>
      <c r="K25" s="200">
        <f t="shared" si="2"/>
        <v>0</v>
      </c>
      <c r="L25" s="201">
        <f t="shared" si="3"/>
        <v>0</v>
      </c>
      <c r="M25" s="201">
        <f t="shared" si="3"/>
        <v>0</v>
      </c>
      <c r="N25" s="80"/>
    </row>
    <row r="26" spans="2:14" ht="14">
      <c r="B26" s="202"/>
      <c r="C26" s="202"/>
      <c r="D26" s="202"/>
      <c r="E26" s="317"/>
      <c r="F26" s="203"/>
      <c r="G26" s="204"/>
      <c r="H26" s="205">
        <f>SUM(F26:G26)</f>
        <v>0</v>
      </c>
      <c r="I26" s="206"/>
      <c r="J26" s="205">
        <f>ROUND(H26*I26,0)</f>
        <v>0</v>
      </c>
      <c r="K26" s="207">
        <f>2080*I26</f>
        <v>0</v>
      </c>
      <c r="L26" s="208">
        <f t="shared" si="3"/>
        <v>0</v>
      </c>
      <c r="M26" s="208">
        <f t="shared" si="3"/>
        <v>0</v>
      </c>
      <c r="N26" s="80"/>
    </row>
    <row r="27" spans="2:14" ht="14">
      <c r="B27" s="202"/>
      <c r="C27" s="202"/>
      <c r="D27" s="202"/>
      <c r="E27" s="317"/>
      <c r="F27" s="204"/>
      <c r="G27" s="204"/>
      <c r="H27" s="205">
        <f>SUM(F27:G27)</f>
        <v>0</v>
      </c>
      <c r="I27" s="206"/>
      <c r="J27" s="205">
        <f>ROUND(H27*I27,0)</f>
        <v>0</v>
      </c>
      <c r="K27" s="207">
        <f>2080*I27</f>
        <v>0</v>
      </c>
      <c r="L27" s="208">
        <f t="shared" si="3"/>
        <v>0</v>
      </c>
      <c r="M27" s="208">
        <f t="shared" si="3"/>
        <v>0</v>
      </c>
      <c r="N27" s="80"/>
    </row>
    <row r="28" spans="2:14" ht="14">
      <c r="B28" s="202"/>
      <c r="C28" s="202"/>
      <c r="D28" s="202"/>
      <c r="E28" s="317"/>
      <c r="F28" s="204"/>
      <c r="G28" s="204"/>
      <c r="H28" s="205">
        <f>SUM(F28:G28)</f>
        <v>0</v>
      </c>
      <c r="I28" s="206"/>
      <c r="J28" s="205">
        <f>ROUND(H28*I28,0)</f>
        <v>0</v>
      </c>
      <c r="K28" s="207">
        <f>2080*I28</f>
        <v>0</v>
      </c>
      <c r="L28" s="208">
        <f t="shared" si="3"/>
        <v>0</v>
      </c>
      <c r="M28" s="208">
        <f t="shared" si="3"/>
        <v>0</v>
      </c>
      <c r="N28" s="80"/>
    </row>
    <row r="29" spans="2:14" ht="14">
      <c r="B29" s="202"/>
      <c r="C29" s="202"/>
      <c r="D29" s="202"/>
      <c r="E29" s="317"/>
      <c r="F29" s="204"/>
      <c r="G29" s="204"/>
      <c r="H29" s="205">
        <f t="shared" si="4"/>
        <v>0</v>
      </c>
      <c r="I29" s="206"/>
      <c r="J29" s="205">
        <f t="shared" si="1"/>
        <v>0</v>
      </c>
      <c r="K29" s="207">
        <f t="shared" si="2"/>
        <v>0</v>
      </c>
      <c r="L29" s="208">
        <f t="shared" si="3"/>
        <v>0</v>
      </c>
      <c r="M29" s="208">
        <f t="shared" si="3"/>
        <v>0</v>
      </c>
    </row>
    <row r="30" spans="2:14" ht="14">
      <c r="B30" s="92"/>
      <c r="C30" s="92"/>
      <c r="D30" s="92"/>
      <c r="E30" s="317"/>
      <c r="F30" s="74"/>
      <c r="G30" s="74"/>
      <c r="H30" s="113">
        <f t="shared" si="4"/>
        <v>0</v>
      </c>
      <c r="I30" s="75"/>
      <c r="J30" s="113">
        <f t="shared" si="1"/>
        <v>0</v>
      </c>
      <c r="K30" s="114">
        <f t="shared" si="2"/>
        <v>0</v>
      </c>
      <c r="L30" s="115">
        <f t="shared" si="3"/>
        <v>0</v>
      </c>
      <c r="M30" s="115">
        <f t="shared" si="3"/>
        <v>0</v>
      </c>
    </row>
    <row r="31" spans="2:14">
      <c r="E31" s="40"/>
      <c r="F31" s="118"/>
      <c r="G31" s="39"/>
      <c r="K31" s="116">
        <f>SUM(K12:K30)</f>
        <v>0</v>
      </c>
      <c r="L31" s="117">
        <f>SUM(L12:L30)</f>
        <v>0</v>
      </c>
      <c r="M31" s="117">
        <f>SUM(M12:M30)</f>
        <v>0</v>
      </c>
    </row>
    <row r="32" spans="2:14">
      <c r="E32" s="40"/>
      <c r="I32" s="119" t="s">
        <v>13</v>
      </c>
      <c r="J32" s="120"/>
      <c r="K32" s="118"/>
      <c r="M32" s="38"/>
    </row>
    <row r="33" spans="2:13">
      <c r="B33" s="35"/>
      <c r="C33" s="121"/>
      <c r="D33" s="121"/>
      <c r="I33" s="122" t="s">
        <v>45</v>
      </c>
      <c r="J33" s="123">
        <f>ROUNDUP(SUM(J12:J30),0)</f>
        <v>0</v>
      </c>
      <c r="K33" s="39"/>
      <c r="M33" s="38"/>
    </row>
    <row r="34" spans="2:13">
      <c r="B34"/>
      <c r="C34" s="121"/>
      <c r="D34" s="121"/>
      <c r="I34" s="124"/>
      <c r="J34" s="39"/>
      <c r="K34" s="39"/>
      <c r="M34" s="38"/>
    </row>
  </sheetData>
  <sheetProtection insertRows="0" selectLockedCells="1"/>
  <dataConsolidate/>
  <mergeCells count="5">
    <mergeCell ref="M8:M11"/>
    <mergeCell ref="C7:G7"/>
    <mergeCell ref="B8:B11"/>
    <mergeCell ref="E8:E11"/>
    <mergeCell ref="L8:L11"/>
  </mergeCells>
  <pageMargins left="0.45" right="0.45" top="0.72" bottom="0.66" header="0.5" footer="0.5"/>
  <pageSetup scale="81" orientation="landscape" cellComments="asDisplayed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B2F26B-DEC5-4CBF-8156-C10E94671F0A}">
          <x14:formula1>
            <xm:f>'List of Values'!$E$2:$E$3</xm:f>
          </x14:formula1>
          <xm:sqref>E12:E30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42"/>
  <sheetViews>
    <sheetView workbookViewId="0">
      <selection sqref="A1:M1"/>
    </sheetView>
  </sheetViews>
  <sheetFormatPr defaultColWidth="9.1796875" defaultRowHeight="12.5"/>
  <cols>
    <col min="1" max="1" width="3.54296875" style="3" bestFit="1" customWidth="1"/>
    <col min="2" max="2" width="31" style="3" customWidth="1"/>
    <col min="3" max="3" width="3.7265625" style="3" customWidth="1"/>
    <col min="4" max="4" width="15.7265625" style="3" customWidth="1"/>
    <col min="5" max="5" width="21.1796875" style="3" customWidth="1"/>
    <col min="6" max="6" width="21.453125" style="3" customWidth="1"/>
    <col min="7" max="7" width="3.7265625" style="3" customWidth="1"/>
    <col min="8" max="8" width="11.26953125" style="3" customWidth="1"/>
    <col min="9" max="9" width="11.1796875" style="3" customWidth="1"/>
    <col min="10" max="10" width="10" style="3" customWidth="1"/>
    <col min="11" max="11" width="3.453125" style="3" customWidth="1"/>
    <col min="12" max="12" width="6.1796875" style="3" customWidth="1"/>
    <col min="13" max="13" width="7.54296875" style="3" customWidth="1"/>
    <col min="14" max="14" width="6.453125" style="3" customWidth="1"/>
    <col min="15" max="15" width="9.1796875" style="3" customWidth="1"/>
    <col min="16" max="16" width="6.26953125" style="3" customWidth="1"/>
    <col min="17" max="19" width="9.1796875" style="3" customWidth="1"/>
    <col min="20" max="20" width="8.453125" style="3" customWidth="1"/>
    <col min="21" max="21" width="9.7265625" style="3" customWidth="1"/>
    <col min="22" max="16384" width="9.1796875" style="3"/>
  </cols>
  <sheetData>
    <row r="1" spans="1:20" ht="13">
      <c r="A1" s="405" t="s">
        <v>71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</row>
    <row r="2" spans="1:20" ht="13">
      <c r="A2" s="405" t="s">
        <v>72</v>
      </c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</row>
    <row r="3" spans="1:20" ht="13">
      <c r="A3" s="465" t="s">
        <v>70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  <c r="M3" s="465"/>
    </row>
    <row r="4" spans="1:20" ht="20.25" customHeight="1">
      <c r="A4" s="5"/>
      <c r="B4" s="5"/>
      <c r="C4" s="5"/>
      <c r="D4" s="5"/>
      <c r="E4" s="471" t="str">
        <f>'Schedule A'!F3</f>
        <v>Children's Residential (ChRIS)</v>
      </c>
      <c r="F4" s="465"/>
      <c r="G4" s="5"/>
      <c r="H4" s="5"/>
      <c r="I4" s="9" t="str">
        <f>'Schedule A'!A3</f>
        <v>Contractor Name:</v>
      </c>
      <c r="J4" s="466" t="str">
        <f>IF('Schedule A'!C3="","",'Schedule A'!C3)</f>
        <v/>
      </c>
      <c r="K4" s="466"/>
      <c r="L4" s="466"/>
      <c r="M4" s="466"/>
    </row>
    <row r="5" spans="1:20" s="1" customFormat="1" ht="14.5" customHeight="1">
      <c r="A5" s="5"/>
      <c r="B5" s="5"/>
      <c r="C5" s="167"/>
      <c r="D5" s="167"/>
      <c r="E5" s="471" t="str">
        <f>'Schedule A'!F4</f>
        <v>FY 2027-2028</v>
      </c>
      <c r="F5" s="471"/>
      <c r="G5" s="167"/>
      <c r="H5" s="167"/>
      <c r="I5" s="9" t="str">
        <f>'Schedule A'!A4</f>
        <v>RU #</v>
      </c>
      <c r="J5" s="466" t="str">
        <f>IF('Schedule A'!C4="","",'Schedule A'!C4)</f>
        <v/>
      </c>
      <c r="K5" s="466"/>
      <c r="L5" s="466"/>
      <c r="M5" s="466"/>
    </row>
    <row r="6" spans="1:20" s="1" customFormat="1" ht="14.5" customHeight="1">
      <c r="A6" s="5"/>
      <c r="B6" s="5"/>
      <c r="C6" s="5"/>
      <c r="D6" s="5"/>
      <c r="E6" s="471">
        <f>'Schedule A'!F5</f>
        <v>0</v>
      </c>
      <c r="F6" s="471"/>
      <c r="G6" s="5"/>
      <c r="H6" s="5"/>
      <c r="I6" s="9" t="str">
        <f>'Schedule A'!A5</f>
        <v>Contract # / RFP #</v>
      </c>
      <c r="J6" s="466" t="str">
        <f>IF('Schedule A'!C5="","",'Schedule A'!C5)</f>
        <v/>
      </c>
      <c r="K6" s="466"/>
      <c r="L6" s="466"/>
      <c r="M6" s="466"/>
    </row>
    <row r="7" spans="1:20" s="1" customFormat="1" ht="17.25" customHeight="1">
      <c r="B7" s="41" t="s">
        <v>6</v>
      </c>
      <c r="C7" s="421" t="str">
        <f>IF('Schedule A'!C9="","",'Schedule A'!C9)</f>
        <v/>
      </c>
      <c r="D7" s="421"/>
      <c r="E7" s="421"/>
      <c r="F7" s="3"/>
      <c r="G7" s="3"/>
      <c r="H7" s="3"/>
      <c r="I7" s="9" t="str">
        <f>'Schedule A'!A6</f>
        <v>Address:</v>
      </c>
      <c r="J7" s="466" t="str">
        <f>IF('Schedule A'!C6="","",'Schedule A'!C6)</f>
        <v/>
      </c>
      <c r="K7" s="466"/>
      <c r="L7" s="466"/>
      <c r="M7" s="466"/>
    </row>
    <row r="8" spans="1:20" s="1" customFormat="1" ht="15.25" customHeight="1">
      <c r="B8" s="41" t="s">
        <v>56</v>
      </c>
      <c r="C8" s="421" t="str">
        <f>IF('Schedule A'!C10="","",'Schedule A'!C10)</f>
        <v/>
      </c>
      <c r="D8" s="421"/>
      <c r="E8" s="421"/>
      <c r="F8" s="6"/>
      <c r="G8" s="6"/>
      <c r="H8" s="6"/>
      <c r="I8" s="9" t="str">
        <f>'Schedule A'!A7</f>
        <v>City, State, Zip Code:</v>
      </c>
      <c r="J8" s="466" t="str">
        <f>IF('Schedule A'!C7="","",'Schedule A'!C7)</f>
        <v/>
      </c>
      <c r="K8" s="466"/>
      <c r="L8" s="466"/>
      <c r="M8" s="466"/>
    </row>
    <row r="9" spans="1:20" s="1" customFormat="1" ht="15.25" customHeight="1">
      <c r="A9" s="7"/>
      <c r="B9" s="7"/>
      <c r="C9" s="42"/>
      <c r="D9" s="6"/>
      <c r="E9" s="6"/>
      <c r="F9" s="6"/>
      <c r="G9" s="6"/>
      <c r="H9" s="6"/>
      <c r="I9" s="9" t="str">
        <f>'Schedule A'!A8</f>
        <v>Date Form Completed:</v>
      </c>
      <c r="J9" s="466" t="str">
        <f>IF('Schedule A'!C8="","",'Schedule A'!C8)</f>
        <v/>
      </c>
      <c r="K9" s="466"/>
      <c r="L9" s="466"/>
      <c r="M9" s="466"/>
    </row>
    <row r="10" spans="1:20" s="1" customFormat="1" ht="37.5" customHeight="1">
      <c r="A10" s="2"/>
      <c r="B10" s="467" t="s">
        <v>12</v>
      </c>
      <c r="C10" s="467"/>
      <c r="D10" s="467"/>
      <c r="E10" s="467"/>
      <c r="F10" s="467"/>
      <c r="G10" s="467"/>
      <c r="H10" s="467"/>
      <c r="I10" s="467"/>
      <c r="J10" s="467"/>
      <c r="K10" s="467"/>
      <c r="L10" s="467"/>
      <c r="M10" s="2"/>
    </row>
    <row r="11" spans="1:20" s="1" customFormat="1" ht="24.75" customHeight="1">
      <c r="A11" s="2"/>
      <c r="B11" s="468"/>
      <c r="C11" s="468"/>
      <c r="D11" s="468"/>
      <c r="E11" s="468"/>
      <c r="F11" s="468"/>
      <c r="G11" s="468"/>
      <c r="H11" s="468"/>
      <c r="I11" s="468"/>
      <c r="J11" s="468"/>
      <c r="K11" s="468"/>
      <c r="L11" s="468"/>
      <c r="M11" s="2"/>
      <c r="N11" s="3"/>
      <c r="O11" s="3"/>
      <c r="P11" s="3"/>
      <c r="Q11" s="3"/>
      <c r="R11" s="3"/>
    </row>
    <row r="12" spans="1:20" s="1" customFormat="1" ht="18.75" customHeight="1">
      <c r="A12" s="4"/>
      <c r="B12" s="4"/>
      <c r="C12" s="486"/>
      <c r="D12" s="486"/>
      <c r="E12" s="486"/>
      <c r="F12" s="486"/>
      <c r="G12" s="486"/>
      <c r="H12" s="486"/>
      <c r="I12" s="486"/>
      <c r="J12" s="487"/>
      <c r="K12" s="487"/>
      <c r="L12" s="487"/>
      <c r="M12" s="4"/>
      <c r="N12" s="480" t="s">
        <v>83</v>
      </c>
      <c r="O12" s="480"/>
      <c r="P12" s="480"/>
      <c r="Q12" s="480"/>
      <c r="R12" s="3"/>
    </row>
    <row r="13" spans="1:20" s="1" customFormat="1" ht="43.5" customHeight="1">
      <c r="A13" s="469" t="s">
        <v>1</v>
      </c>
      <c r="B13" s="470"/>
      <c r="C13" s="489" t="s">
        <v>2</v>
      </c>
      <c r="D13" s="490"/>
      <c r="E13" s="63" t="s">
        <v>60</v>
      </c>
      <c r="F13" s="463" t="s">
        <v>61</v>
      </c>
      <c r="G13" s="464"/>
      <c r="H13" s="463" t="s">
        <v>62</v>
      </c>
      <c r="I13" s="464"/>
      <c r="J13" s="463" t="s">
        <v>63</v>
      </c>
      <c r="K13" s="488"/>
      <c r="L13" s="488"/>
      <c r="M13" s="464"/>
      <c r="N13" s="481" t="s">
        <v>84</v>
      </c>
      <c r="O13" s="482"/>
      <c r="P13" s="481" t="s">
        <v>85</v>
      </c>
      <c r="Q13" s="482"/>
      <c r="R13" s="3"/>
    </row>
    <row r="14" spans="1:20" s="1" customFormat="1" ht="30.75" customHeight="1">
      <c r="A14" s="84">
        <v>1</v>
      </c>
      <c r="B14" s="85" t="s">
        <v>81</v>
      </c>
      <c r="C14" s="460"/>
      <c r="D14" s="461"/>
      <c r="E14" s="126">
        <f>1-H14</f>
        <v>1</v>
      </c>
      <c r="F14" s="459">
        <f>E14*C14</f>
        <v>0</v>
      </c>
      <c r="G14" s="459"/>
      <c r="H14" s="458"/>
      <c r="I14" s="458"/>
      <c r="J14" s="462">
        <f>H14*C14</f>
        <v>0</v>
      </c>
      <c r="K14" s="462"/>
      <c r="L14" s="462"/>
      <c r="M14" s="462"/>
      <c r="N14" s="483">
        <v>0</v>
      </c>
      <c r="O14" s="484"/>
      <c r="P14" s="485">
        <f>N14+J14</f>
        <v>0</v>
      </c>
      <c r="Q14" s="485"/>
      <c r="R14" s="3"/>
      <c r="T14" s="83"/>
    </row>
    <row r="15" spans="1:20" s="1" customFormat="1" ht="24.75" customHeight="1">
      <c r="A15" s="84">
        <v>2</v>
      </c>
      <c r="B15" s="85" t="s">
        <v>278</v>
      </c>
      <c r="C15" s="460"/>
      <c r="D15" s="461"/>
      <c r="E15" s="280">
        <f t="shared" ref="E15:E29" si="0">1-H15</f>
        <v>1</v>
      </c>
      <c r="F15" s="459">
        <f t="shared" ref="F15:F29" si="1">E15*D15</f>
        <v>0</v>
      </c>
      <c r="G15" s="459"/>
      <c r="H15" s="458"/>
      <c r="I15" s="458"/>
      <c r="J15" s="462">
        <f>H15*C15</f>
        <v>0</v>
      </c>
      <c r="K15" s="462"/>
      <c r="L15" s="462"/>
      <c r="M15" s="462"/>
      <c r="N15" s="484"/>
      <c r="O15" s="484"/>
      <c r="P15" s="485">
        <f t="shared" ref="P15:P28" si="2">N15+J15</f>
        <v>0</v>
      </c>
      <c r="Q15" s="485"/>
      <c r="R15" s="3"/>
      <c r="T15" s="83"/>
    </row>
    <row r="16" spans="1:20" s="1" customFormat="1" ht="24.75" customHeight="1">
      <c r="A16" s="84">
        <v>3</v>
      </c>
      <c r="B16" s="85" t="s">
        <v>279</v>
      </c>
      <c r="C16" s="460"/>
      <c r="D16" s="461"/>
      <c r="E16" s="280">
        <f t="shared" si="0"/>
        <v>1</v>
      </c>
      <c r="F16" s="459">
        <f t="shared" si="1"/>
        <v>0</v>
      </c>
      <c r="G16" s="459"/>
      <c r="H16" s="458"/>
      <c r="I16" s="458"/>
      <c r="J16" s="462">
        <f t="shared" ref="J16:J29" si="3">H16*C16</f>
        <v>0</v>
      </c>
      <c r="K16" s="462"/>
      <c r="L16" s="462"/>
      <c r="M16" s="462"/>
      <c r="N16" s="484"/>
      <c r="O16" s="484"/>
      <c r="P16" s="485">
        <f t="shared" si="2"/>
        <v>0</v>
      </c>
      <c r="Q16" s="485"/>
      <c r="R16" s="3"/>
      <c r="T16" s="83"/>
    </row>
    <row r="17" spans="1:20" s="1" customFormat="1" ht="24.75" customHeight="1">
      <c r="A17" s="84">
        <v>4</v>
      </c>
      <c r="B17" s="85" t="s">
        <v>280</v>
      </c>
      <c r="C17" s="460"/>
      <c r="D17" s="461"/>
      <c r="E17" s="280">
        <f t="shared" si="0"/>
        <v>1</v>
      </c>
      <c r="F17" s="459">
        <f t="shared" si="1"/>
        <v>0</v>
      </c>
      <c r="G17" s="459"/>
      <c r="H17" s="458"/>
      <c r="I17" s="458"/>
      <c r="J17" s="462">
        <f t="shared" si="3"/>
        <v>0</v>
      </c>
      <c r="K17" s="462"/>
      <c r="L17" s="462"/>
      <c r="M17" s="462"/>
      <c r="N17" s="484"/>
      <c r="O17" s="484"/>
      <c r="P17" s="485">
        <f t="shared" si="2"/>
        <v>0</v>
      </c>
      <c r="Q17" s="485"/>
      <c r="R17" s="3"/>
      <c r="T17" s="83"/>
    </row>
    <row r="18" spans="1:20" s="1" customFormat="1" ht="24.75" customHeight="1">
      <c r="A18" s="84">
        <v>5</v>
      </c>
      <c r="B18" s="85" t="s">
        <v>267</v>
      </c>
      <c r="C18" s="460"/>
      <c r="D18" s="461"/>
      <c r="E18" s="126">
        <f>1-H18</f>
        <v>1</v>
      </c>
      <c r="F18" s="459">
        <f>E18*D18</f>
        <v>0</v>
      </c>
      <c r="G18" s="459"/>
      <c r="H18" s="458"/>
      <c r="I18" s="458"/>
      <c r="J18" s="462">
        <f>H18*C18</f>
        <v>0</v>
      </c>
      <c r="K18" s="462"/>
      <c r="L18" s="462"/>
      <c r="M18" s="462"/>
      <c r="N18" s="484"/>
      <c r="O18" s="484"/>
      <c r="P18" s="485">
        <f t="shared" si="2"/>
        <v>0</v>
      </c>
      <c r="Q18" s="485"/>
      <c r="R18" s="3"/>
      <c r="T18" s="83"/>
    </row>
    <row r="19" spans="1:20" s="1" customFormat="1" ht="24.75" customHeight="1">
      <c r="A19" s="84">
        <v>6</v>
      </c>
      <c r="B19" s="125"/>
      <c r="C19" s="460"/>
      <c r="D19" s="461"/>
      <c r="E19" s="126">
        <f>1-H19</f>
        <v>1</v>
      </c>
      <c r="F19" s="459">
        <f>E19*D19</f>
        <v>0</v>
      </c>
      <c r="G19" s="459"/>
      <c r="H19" s="458"/>
      <c r="I19" s="458"/>
      <c r="J19" s="462">
        <f>H19*C19</f>
        <v>0</v>
      </c>
      <c r="K19" s="462"/>
      <c r="L19" s="462"/>
      <c r="M19" s="462"/>
      <c r="N19" s="484"/>
      <c r="O19" s="484"/>
      <c r="P19" s="485">
        <f t="shared" si="2"/>
        <v>0</v>
      </c>
      <c r="Q19" s="485"/>
      <c r="R19" s="3"/>
      <c r="T19" s="83"/>
    </row>
    <row r="20" spans="1:20" s="1" customFormat="1" ht="24.75" customHeight="1">
      <c r="A20" s="84">
        <v>7</v>
      </c>
      <c r="B20" s="125"/>
      <c r="C20" s="460"/>
      <c r="D20" s="461"/>
      <c r="E20" s="126">
        <f>1-H20</f>
        <v>1</v>
      </c>
      <c r="F20" s="459">
        <f>E20*D20</f>
        <v>0</v>
      </c>
      <c r="G20" s="459"/>
      <c r="H20" s="458"/>
      <c r="I20" s="458"/>
      <c r="J20" s="462">
        <f>H20*C20</f>
        <v>0</v>
      </c>
      <c r="K20" s="462"/>
      <c r="L20" s="462"/>
      <c r="M20" s="462"/>
      <c r="N20" s="484"/>
      <c r="O20" s="484"/>
      <c r="P20" s="485">
        <f t="shared" si="2"/>
        <v>0</v>
      </c>
      <c r="Q20" s="485"/>
      <c r="R20" s="3"/>
      <c r="T20" s="83"/>
    </row>
    <row r="21" spans="1:20" s="1" customFormat="1" ht="24.75" customHeight="1">
      <c r="A21" s="84">
        <v>8</v>
      </c>
      <c r="B21" s="125"/>
      <c r="C21" s="460"/>
      <c r="D21" s="461"/>
      <c r="E21" s="126">
        <f t="shared" si="0"/>
        <v>1</v>
      </c>
      <c r="F21" s="459">
        <f t="shared" si="1"/>
        <v>0</v>
      </c>
      <c r="G21" s="459"/>
      <c r="H21" s="458"/>
      <c r="I21" s="458"/>
      <c r="J21" s="462">
        <f t="shared" si="3"/>
        <v>0</v>
      </c>
      <c r="K21" s="462"/>
      <c r="L21" s="462"/>
      <c r="M21" s="462"/>
      <c r="N21" s="484"/>
      <c r="O21" s="484"/>
      <c r="P21" s="485">
        <f t="shared" si="2"/>
        <v>0</v>
      </c>
      <c r="Q21" s="485"/>
      <c r="T21" s="83"/>
    </row>
    <row r="22" spans="1:20" s="1" customFormat="1" ht="24.75" customHeight="1">
      <c r="A22" s="84">
        <v>9</v>
      </c>
      <c r="B22" s="125"/>
      <c r="C22" s="460"/>
      <c r="D22" s="461"/>
      <c r="E22" s="126">
        <f>1-H22</f>
        <v>1</v>
      </c>
      <c r="F22" s="459">
        <f>E22*D22</f>
        <v>0</v>
      </c>
      <c r="G22" s="459"/>
      <c r="H22" s="458"/>
      <c r="I22" s="458"/>
      <c r="J22" s="462">
        <f>H22*C22</f>
        <v>0</v>
      </c>
      <c r="K22" s="462"/>
      <c r="L22" s="462"/>
      <c r="M22" s="462"/>
      <c r="N22" s="484"/>
      <c r="O22" s="484"/>
      <c r="P22" s="485">
        <f t="shared" si="2"/>
        <v>0</v>
      </c>
      <c r="Q22" s="485"/>
      <c r="T22" s="83"/>
    </row>
    <row r="23" spans="1:20" s="1" customFormat="1" ht="24.75" customHeight="1">
      <c r="A23" s="84">
        <v>10</v>
      </c>
      <c r="B23" s="125"/>
      <c r="C23" s="460"/>
      <c r="D23" s="461"/>
      <c r="E23" s="126">
        <f>1-H23</f>
        <v>1</v>
      </c>
      <c r="F23" s="459">
        <f>E23*D23</f>
        <v>0</v>
      </c>
      <c r="G23" s="459"/>
      <c r="H23" s="458"/>
      <c r="I23" s="458"/>
      <c r="J23" s="462">
        <f>H23*C23</f>
        <v>0</v>
      </c>
      <c r="K23" s="462"/>
      <c r="L23" s="462"/>
      <c r="M23" s="462"/>
      <c r="N23" s="484"/>
      <c r="O23" s="484"/>
      <c r="P23" s="485">
        <f t="shared" si="2"/>
        <v>0</v>
      </c>
      <c r="Q23" s="485"/>
      <c r="T23" s="83"/>
    </row>
    <row r="24" spans="1:20" s="1" customFormat="1" ht="24.75" customHeight="1">
      <c r="A24" s="86">
        <v>11</v>
      </c>
      <c r="B24" s="125"/>
      <c r="C24" s="460"/>
      <c r="D24" s="461"/>
      <c r="E24" s="126">
        <f t="shared" si="0"/>
        <v>1</v>
      </c>
      <c r="F24" s="459">
        <f t="shared" si="1"/>
        <v>0</v>
      </c>
      <c r="G24" s="459"/>
      <c r="H24" s="458"/>
      <c r="I24" s="458"/>
      <c r="J24" s="462">
        <f t="shared" si="3"/>
        <v>0</v>
      </c>
      <c r="K24" s="462"/>
      <c r="L24" s="462"/>
      <c r="M24" s="462"/>
      <c r="N24" s="484"/>
      <c r="O24" s="484"/>
      <c r="P24" s="485">
        <f t="shared" si="2"/>
        <v>0</v>
      </c>
      <c r="Q24" s="485"/>
      <c r="T24" s="83"/>
    </row>
    <row r="25" spans="1:20" s="1" customFormat="1" ht="24.75" customHeight="1">
      <c r="A25" s="86">
        <v>12</v>
      </c>
      <c r="B25" s="125"/>
      <c r="C25" s="460"/>
      <c r="D25" s="461"/>
      <c r="E25" s="126">
        <f t="shared" si="0"/>
        <v>1</v>
      </c>
      <c r="F25" s="459">
        <f t="shared" si="1"/>
        <v>0</v>
      </c>
      <c r="G25" s="459"/>
      <c r="H25" s="458"/>
      <c r="I25" s="458"/>
      <c r="J25" s="462">
        <f t="shared" si="3"/>
        <v>0</v>
      </c>
      <c r="K25" s="462"/>
      <c r="L25" s="462"/>
      <c r="M25" s="462"/>
      <c r="N25" s="484"/>
      <c r="O25" s="484"/>
      <c r="P25" s="485">
        <f t="shared" si="2"/>
        <v>0</v>
      </c>
      <c r="Q25" s="485"/>
      <c r="T25" s="83"/>
    </row>
    <row r="26" spans="1:20" s="1" customFormat="1" ht="24.75" customHeight="1">
      <c r="A26" s="86">
        <v>13</v>
      </c>
      <c r="B26" s="125"/>
      <c r="C26" s="460"/>
      <c r="D26" s="461"/>
      <c r="E26" s="126">
        <f t="shared" si="0"/>
        <v>1</v>
      </c>
      <c r="F26" s="459">
        <f t="shared" si="1"/>
        <v>0</v>
      </c>
      <c r="G26" s="459"/>
      <c r="H26" s="458"/>
      <c r="I26" s="458"/>
      <c r="J26" s="462">
        <f t="shared" si="3"/>
        <v>0</v>
      </c>
      <c r="K26" s="462"/>
      <c r="L26" s="462"/>
      <c r="M26" s="462"/>
      <c r="N26" s="484"/>
      <c r="O26" s="484"/>
      <c r="P26" s="485">
        <f t="shared" si="2"/>
        <v>0</v>
      </c>
      <c r="Q26" s="485"/>
      <c r="T26" s="83"/>
    </row>
    <row r="27" spans="1:20" s="1" customFormat="1" ht="24.75" customHeight="1">
      <c r="A27" s="86">
        <v>14</v>
      </c>
      <c r="B27" s="125"/>
      <c r="C27" s="460"/>
      <c r="D27" s="461"/>
      <c r="E27" s="126">
        <f t="shared" si="0"/>
        <v>1</v>
      </c>
      <c r="F27" s="459">
        <f t="shared" si="1"/>
        <v>0</v>
      </c>
      <c r="G27" s="459"/>
      <c r="H27" s="458"/>
      <c r="I27" s="458"/>
      <c r="J27" s="462">
        <f t="shared" si="3"/>
        <v>0</v>
      </c>
      <c r="K27" s="462"/>
      <c r="L27" s="462"/>
      <c r="M27" s="462"/>
      <c r="N27" s="484"/>
      <c r="O27" s="484"/>
      <c r="P27" s="485">
        <f t="shared" si="2"/>
        <v>0</v>
      </c>
      <c r="Q27" s="485"/>
      <c r="T27" s="83"/>
    </row>
    <row r="28" spans="1:20" s="1" customFormat="1" ht="24.75" customHeight="1">
      <c r="A28" s="86">
        <v>15</v>
      </c>
      <c r="B28" s="87"/>
      <c r="C28" s="460"/>
      <c r="D28" s="461"/>
      <c r="E28" s="126">
        <f t="shared" si="0"/>
        <v>1</v>
      </c>
      <c r="F28" s="459">
        <f t="shared" si="1"/>
        <v>0</v>
      </c>
      <c r="G28" s="459"/>
      <c r="H28" s="458"/>
      <c r="I28" s="458"/>
      <c r="J28" s="462">
        <f t="shared" si="3"/>
        <v>0</v>
      </c>
      <c r="K28" s="462"/>
      <c r="L28" s="462"/>
      <c r="M28" s="462"/>
      <c r="N28" s="484"/>
      <c r="O28" s="484"/>
      <c r="P28" s="485">
        <f t="shared" si="2"/>
        <v>0</v>
      </c>
      <c r="Q28" s="485"/>
      <c r="T28" s="83"/>
    </row>
    <row r="29" spans="1:20" s="1" customFormat="1" ht="24.75" customHeight="1">
      <c r="A29" s="86">
        <v>16</v>
      </c>
      <c r="B29" s="87"/>
      <c r="C29" s="460"/>
      <c r="D29" s="461"/>
      <c r="E29" s="126">
        <f t="shared" si="0"/>
        <v>1</v>
      </c>
      <c r="F29" s="459">
        <f t="shared" si="1"/>
        <v>0</v>
      </c>
      <c r="G29" s="459"/>
      <c r="H29" s="458"/>
      <c r="I29" s="458"/>
      <c r="J29" s="462">
        <f t="shared" si="3"/>
        <v>0</v>
      </c>
      <c r="K29" s="462"/>
      <c r="L29" s="462"/>
      <c r="M29" s="462"/>
      <c r="N29" s="484"/>
      <c r="O29" s="484"/>
      <c r="P29" s="485">
        <f>N29+J29</f>
        <v>0</v>
      </c>
      <c r="Q29" s="485"/>
      <c r="T29" s="83"/>
    </row>
    <row r="30" spans="1:20" s="1" customFormat="1" ht="14">
      <c r="A30" s="491" t="s">
        <v>3</v>
      </c>
      <c r="B30" s="491"/>
      <c r="C30" s="478">
        <f>SUM(C14:D29)</f>
        <v>0</v>
      </c>
      <c r="D30" s="479"/>
      <c r="E30" s="127"/>
      <c r="F30" s="473">
        <f>SUM(F14:G29)</f>
        <v>0</v>
      </c>
      <c r="G30" s="473"/>
      <c r="H30" s="474"/>
      <c r="I30" s="474"/>
      <c r="J30" s="472">
        <f>SUM(J14:M29)</f>
        <v>0</v>
      </c>
      <c r="K30" s="472"/>
      <c r="L30" s="472"/>
      <c r="M30" s="472"/>
      <c r="N30" s="485">
        <f>SUM(N14:O29)</f>
        <v>0</v>
      </c>
      <c r="O30" s="485"/>
      <c r="P30" s="485">
        <f>N30+J30</f>
        <v>0</v>
      </c>
      <c r="Q30" s="485"/>
      <c r="T30" s="182">
        <f>IFERROR(((J31-J30))/J31,0)</f>
        <v>0</v>
      </c>
    </row>
    <row r="31" spans="1:20" s="1" customFormat="1" ht="15" customHeight="1">
      <c r="A31" s="475" t="s">
        <v>59</v>
      </c>
      <c r="B31" s="476"/>
      <c r="C31" s="476"/>
      <c r="D31" s="476"/>
      <c r="E31" s="476"/>
      <c r="F31" s="476"/>
      <c r="G31" s="476"/>
      <c r="H31" s="476"/>
      <c r="I31" s="477"/>
      <c r="J31" s="472">
        <f>P30+'Service Delivery Staff'!K33+'Other Staff'!J33</f>
        <v>0</v>
      </c>
      <c r="K31" s="472"/>
      <c r="L31" s="472"/>
      <c r="M31" s="472"/>
    </row>
    <row r="32" spans="1:20" s="1" customFormat="1" ht="16.5" customHeigh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</row>
    <row r="34" spans="2:5" ht="13">
      <c r="B34" s="339" t="s">
        <v>355</v>
      </c>
    </row>
    <row r="35" spans="2:5">
      <c r="B35" s="3" t="s">
        <v>273</v>
      </c>
      <c r="D35" s="281">
        <f>P30</f>
        <v>0</v>
      </c>
    </row>
    <row r="36" spans="2:5">
      <c r="B36" s="3" t="s">
        <v>274</v>
      </c>
      <c r="D36" s="3">
        <f>'Service Delivery Staff'!M31+'Service Delivery Staff'!N31+'Other Staff'!L31+'Other Staff'!M31</f>
        <v>0</v>
      </c>
      <c r="E36" s="281">
        <f>D35+D36</f>
        <v>0</v>
      </c>
    </row>
    <row r="37" spans="2:5">
      <c r="B37" s="65" t="s">
        <v>275</v>
      </c>
      <c r="D37" s="281">
        <f>P15</f>
        <v>0</v>
      </c>
    </row>
    <row r="38" spans="2:5">
      <c r="B38" s="65" t="s">
        <v>268</v>
      </c>
      <c r="D38" s="281">
        <f>P16</f>
        <v>0</v>
      </c>
    </row>
    <row r="39" spans="2:5">
      <c r="B39" s="65" t="s">
        <v>269</v>
      </c>
      <c r="D39" s="281">
        <f>P17</f>
        <v>0</v>
      </c>
    </row>
    <row r="40" spans="2:5">
      <c r="B40" s="3" t="s">
        <v>267</v>
      </c>
      <c r="D40" s="281">
        <f>P18</f>
        <v>0</v>
      </c>
    </row>
    <row r="41" spans="2:5">
      <c r="B41" s="3" t="s">
        <v>276</v>
      </c>
      <c r="D41" s="281">
        <f>D35+D36-SUM(D37:D40)</f>
        <v>0</v>
      </c>
    </row>
    <row r="42" spans="2:5">
      <c r="B42" s="3" t="s">
        <v>277</v>
      </c>
      <c r="D42" s="281">
        <f>D35-SUM(D37:D40)</f>
        <v>0</v>
      </c>
    </row>
  </sheetData>
  <sheetProtection insertRows="0" selectLockedCells="1"/>
  <mergeCells count="131">
    <mergeCell ref="N30:O30"/>
    <mergeCell ref="P30:Q30"/>
    <mergeCell ref="N27:O27"/>
    <mergeCell ref="P27:Q27"/>
    <mergeCell ref="N28:O28"/>
    <mergeCell ref="P28:Q28"/>
    <mergeCell ref="N29:O29"/>
    <mergeCell ref="P29:Q29"/>
    <mergeCell ref="A30:B30"/>
    <mergeCell ref="C29:D29"/>
    <mergeCell ref="C28:D28"/>
    <mergeCell ref="F27:G27"/>
    <mergeCell ref="H27:I27"/>
    <mergeCell ref="N24:O24"/>
    <mergeCell ref="P24:Q24"/>
    <mergeCell ref="N25:O25"/>
    <mergeCell ref="P25:Q25"/>
    <mergeCell ref="N26:O26"/>
    <mergeCell ref="P26:Q26"/>
    <mergeCell ref="N21:O21"/>
    <mergeCell ref="P21:Q21"/>
    <mergeCell ref="N22:O22"/>
    <mergeCell ref="P22:Q22"/>
    <mergeCell ref="N23:O23"/>
    <mergeCell ref="P23:Q23"/>
    <mergeCell ref="N18:O18"/>
    <mergeCell ref="P18:Q18"/>
    <mergeCell ref="N19:O19"/>
    <mergeCell ref="P19:Q19"/>
    <mergeCell ref="N20:O20"/>
    <mergeCell ref="P20:Q20"/>
    <mergeCell ref="N15:O15"/>
    <mergeCell ref="P15:Q15"/>
    <mergeCell ref="N16:O16"/>
    <mergeCell ref="P16:Q16"/>
    <mergeCell ref="N17:O17"/>
    <mergeCell ref="P17:Q17"/>
    <mergeCell ref="N12:Q12"/>
    <mergeCell ref="N13:O13"/>
    <mergeCell ref="P13:Q13"/>
    <mergeCell ref="N14:O14"/>
    <mergeCell ref="P14:Q14"/>
    <mergeCell ref="C12:I12"/>
    <mergeCell ref="J15:M15"/>
    <mergeCell ref="H15:I15"/>
    <mergeCell ref="J12:L12"/>
    <mergeCell ref="J13:M13"/>
    <mergeCell ref="F14:G14"/>
    <mergeCell ref="H14:I14"/>
    <mergeCell ref="J14:M14"/>
    <mergeCell ref="C13:D13"/>
    <mergeCell ref="J25:M25"/>
    <mergeCell ref="F26:G26"/>
    <mergeCell ref="H26:I26"/>
    <mergeCell ref="J26:M26"/>
    <mergeCell ref="F25:G25"/>
    <mergeCell ref="H25:I25"/>
    <mergeCell ref="J31:M31"/>
    <mergeCell ref="F30:G30"/>
    <mergeCell ref="H30:I30"/>
    <mergeCell ref="J30:M30"/>
    <mergeCell ref="H28:I28"/>
    <mergeCell ref="J28:M28"/>
    <mergeCell ref="J29:M29"/>
    <mergeCell ref="H29:I29"/>
    <mergeCell ref="A31:I31"/>
    <mergeCell ref="F29:G29"/>
    <mergeCell ref="C30:D30"/>
    <mergeCell ref="J27:M27"/>
    <mergeCell ref="F28:G28"/>
    <mergeCell ref="C25:D25"/>
    <mergeCell ref="C26:D26"/>
    <mergeCell ref="C27:D27"/>
    <mergeCell ref="J24:M24"/>
    <mergeCell ref="C16:D16"/>
    <mergeCell ref="C17:D17"/>
    <mergeCell ref="J23:M23"/>
    <mergeCell ref="J20:M20"/>
    <mergeCell ref="F17:G17"/>
    <mergeCell ref="F16:G16"/>
    <mergeCell ref="J18:M18"/>
    <mergeCell ref="H21:I21"/>
    <mergeCell ref="H24:I24"/>
    <mergeCell ref="F24:G24"/>
    <mergeCell ref="C18:D18"/>
    <mergeCell ref="F18:G18"/>
    <mergeCell ref="H18:I18"/>
    <mergeCell ref="C22:D22"/>
    <mergeCell ref="C23:D23"/>
    <mergeCell ref="C24:D24"/>
    <mergeCell ref="H20:I20"/>
    <mergeCell ref="F20:G20"/>
    <mergeCell ref="C19:D19"/>
    <mergeCell ref="F19:G19"/>
    <mergeCell ref="J19:M19"/>
    <mergeCell ref="F21:G21"/>
    <mergeCell ref="F23:G23"/>
    <mergeCell ref="A1:M1"/>
    <mergeCell ref="A2:M2"/>
    <mergeCell ref="A3:M3"/>
    <mergeCell ref="C14:D14"/>
    <mergeCell ref="J4:M4"/>
    <mergeCell ref="B10:L10"/>
    <mergeCell ref="J5:M5"/>
    <mergeCell ref="J6:M6"/>
    <mergeCell ref="B11:L11"/>
    <mergeCell ref="J7:M7"/>
    <mergeCell ref="C7:E7"/>
    <mergeCell ref="C8:E8"/>
    <mergeCell ref="J8:M8"/>
    <mergeCell ref="J9:M9"/>
    <mergeCell ref="A13:B13"/>
    <mergeCell ref="E4:F4"/>
    <mergeCell ref="E5:F5"/>
    <mergeCell ref="E6:F6"/>
    <mergeCell ref="H23:I23"/>
    <mergeCell ref="F22:G22"/>
    <mergeCell ref="C20:D20"/>
    <mergeCell ref="J21:M21"/>
    <mergeCell ref="F13:G13"/>
    <mergeCell ref="H13:I13"/>
    <mergeCell ref="J17:M17"/>
    <mergeCell ref="J16:M16"/>
    <mergeCell ref="C21:D21"/>
    <mergeCell ref="H19:I19"/>
    <mergeCell ref="H17:I17"/>
    <mergeCell ref="C15:D15"/>
    <mergeCell ref="F15:G15"/>
    <mergeCell ref="H22:I22"/>
    <mergeCell ref="J22:M22"/>
    <mergeCell ref="H16:I16"/>
  </mergeCells>
  <phoneticPr fontId="0" type="noConversion"/>
  <pageMargins left="0.95" right="0.45" top="0.54" bottom="0.49" header="0.31" footer="0.37"/>
  <pageSetup scale="67" orientation="landscape" cellComments="asDisplayed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32"/>
  <sheetViews>
    <sheetView workbookViewId="0">
      <selection sqref="A1:L1"/>
    </sheetView>
  </sheetViews>
  <sheetFormatPr defaultColWidth="9.1796875" defaultRowHeight="12.5"/>
  <cols>
    <col min="1" max="1" width="3.54296875" style="3" customWidth="1"/>
    <col min="2" max="2" width="30.54296875" style="3" customWidth="1"/>
    <col min="3" max="3" width="24.54296875" style="3" customWidth="1"/>
    <col min="4" max="4" width="28.54296875" style="3" customWidth="1"/>
    <col min="5" max="5" width="21.453125" style="3" customWidth="1"/>
    <col min="6" max="6" width="3.7265625" style="3" customWidth="1"/>
    <col min="7" max="7" width="13.81640625" style="3" customWidth="1"/>
    <col min="8" max="8" width="6.7265625" style="3" customWidth="1"/>
    <col min="9" max="9" width="10" style="3" customWidth="1"/>
    <col min="10" max="10" width="3.453125" style="3" customWidth="1"/>
    <col min="11" max="11" width="10.453125" style="3" customWidth="1"/>
    <col min="12" max="12" width="5.453125" style="3" customWidth="1"/>
    <col min="13" max="16384" width="9.1796875" style="3"/>
  </cols>
  <sheetData>
    <row r="1" spans="1:15" ht="13">
      <c r="A1" s="405" t="s">
        <v>75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5" ht="13">
      <c r="A2" s="405" t="s">
        <v>74</v>
      </c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</row>
    <row r="3" spans="1:15" ht="13">
      <c r="A3" s="465" t="s">
        <v>70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5"/>
    </row>
    <row r="4" spans="1:15" ht="13">
      <c r="A4" s="465" t="s">
        <v>73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</row>
    <row r="5" spans="1:15" ht="23.25" customHeight="1">
      <c r="A5" s="5"/>
      <c r="B5" s="5"/>
      <c r="D5" s="471" t="str">
        <f>'Schedule A'!F4</f>
        <v>FY 2027-2028</v>
      </c>
      <c r="E5" s="471"/>
      <c r="F5" s="53"/>
      <c r="G5" s="53"/>
      <c r="H5" s="9" t="str">
        <f>'Schedule A'!A3</f>
        <v>Contractor Name:</v>
      </c>
      <c r="I5" s="466" t="str">
        <f>IF('Schedule A'!C3:C3="","",'Schedule A'!C3)</f>
        <v/>
      </c>
      <c r="J5" s="466"/>
      <c r="K5" s="466"/>
      <c r="L5" s="466"/>
    </row>
    <row r="6" spans="1:15" s="1" customFormat="1" ht="14.5" customHeight="1">
      <c r="A6" s="5"/>
      <c r="B6" s="5"/>
      <c r="C6" s="5"/>
      <c r="D6" s="471">
        <f>'Schedule A'!F5</f>
        <v>0</v>
      </c>
      <c r="E6" s="465"/>
      <c r="F6" s="5"/>
      <c r="G6" s="5"/>
      <c r="H6" s="9" t="str">
        <f>'Schedule A'!A4</f>
        <v>RU #</v>
      </c>
      <c r="I6" s="466" t="str">
        <f>IF('Schedule A'!C4:C4="","",'Schedule A'!C4)</f>
        <v/>
      </c>
      <c r="J6" s="466"/>
      <c r="K6" s="466"/>
      <c r="L6" s="466"/>
    </row>
    <row r="7" spans="1:15" s="1" customFormat="1" ht="14.5" customHeight="1">
      <c r="A7" s="5"/>
      <c r="B7" s="5"/>
      <c r="C7" s="5"/>
      <c r="D7" s="5"/>
      <c r="E7" s="5"/>
      <c r="F7" s="5"/>
      <c r="G7" s="9"/>
      <c r="H7" s="9" t="str">
        <f>'Schedule A'!A5</f>
        <v>Contract # / RFP #</v>
      </c>
      <c r="I7" s="466" t="str">
        <f>IF('Schedule A'!C5:C5="","",'Schedule A'!C5)</f>
        <v/>
      </c>
      <c r="J7" s="466"/>
      <c r="K7" s="466"/>
      <c r="L7" s="466"/>
    </row>
    <row r="8" spans="1:15" s="1" customFormat="1" ht="14.5" customHeight="1">
      <c r="A8" s="506" t="s">
        <v>6</v>
      </c>
      <c r="B8" s="506"/>
      <c r="C8" s="64" t="str">
        <f>IF('Schedule A'!C9:C9="","",'Schedule A'!C9:C9)</f>
        <v/>
      </c>
      <c r="D8" s="3"/>
      <c r="E8" s="3"/>
      <c r="F8" s="3"/>
      <c r="G8" s="3"/>
      <c r="H8" s="9" t="str">
        <f>'Schedule A'!A6</f>
        <v>Address:</v>
      </c>
      <c r="I8" s="466" t="str">
        <f>IF('Schedule A'!C6:C6="","",'Schedule A'!C6)</f>
        <v/>
      </c>
      <c r="J8" s="466"/>
      <c r="K8" s="466"/>
      <c r="L8" s="466"/>
    </row>
    <row r="9" spans="1:15" s="1" customFormat="1" ht="15.25" customHeight="1">
      <c r="A9" s="506" t="s">
        <v>56</v>
      </c>
      <c r="B9" s="506"/>
      <c r="C9" s="64" t="str">
        <f>IF('Schedule A'!C10:C10="","",'Schedule A'!C10:C10)</f>
        <v/>
      </c>
      <c r="D9" s="6"/>
      <c r="E9" s="6"/>
      <c r="F9" s="6"/>
      <c r="G9" s="6"/>
      <c r="H9" s="9" t="str">
        <f>'Schedule A'!A7</f>
        <v>City, State, Zip Code:</v>
      </c>
      <c r="I9" s="466" t="str">
        <f>IF('Schedule A'!C7:C7="","",'Schedule A'!C7)</f>
        <v/>
      </c>
      <c r="J9" s="466"/>
      <c r="K9" s="466"/>
      <c r="L9" s="466"/>
    </row>
    <row r="10" spans="1:15" s="1" customFormat="1" ht="15.25" customHeight="1">
      <c r="A10" s="7"/>
      <c r="B10" s="7"/>
      <c r="C10" s="6"/>
      <c r="D10" s="6"/>
      <c r="E10" s="6"/>
      <c r="F10" s="6"/>
      <c r="G10" s="6"/>
      <c r="H10" s="9" t="str">
        <f>'Schedule A'!A8</f>
        <v>Date Form Completed:</v>
      </c>
      <c r="I10" s="466" t="str">
        <f>IF('Schedule A'!C8:C8="","",'Schedule A'!C8)</f>
        <v/>
      </c>
      <c r="J10" s="466"/>
      <c r="K10" s="466"/>
      <c r="L10" s="466"/>
    </row>
    <row r="11" spans="1:15" s="1" customFormat="1" ht="36" customHeight="1">
      <c r="A11" s="2"/>
      <c r="B11" s="498" t="s">
        <v>58</v>
      </c>
      <c r="C11" s="498"/>
      <c r="D11" s="498"/>
      <c r="E11" s="498"/>
      <c r="F11" s="498"/>
      <c r="G11" s="498"/>
      <c r="H11" s="498"/>
      <c r="I11" s="498"/>
      <c r="J11" s="498"/>
      <c r="K11" s="498"/>
      <c r="L11" s="2"/>
      <c r="M11" s="3"/>
      <c r="N11" s="3"/>
      <c r="O11" s="3"/>
    </row>
    <row r="12" spans="1:15" s="1" customFormat="1" ht="23.25" customHeight="1">
      <c r="A12" s="3"/>
      <c r="B12" s="499"/>
      <c r="C12" s="499"/>
      <c r="D12" s="499"/>
      <c r="E12" s="499"/>
      <c r="F12" s="499"/>
      <c r="G12" s="499"/>
      <c r="H12" s="499"/>
      <c r="I12" s="499"/>
      <c r="J12" s="499"/>
      <c r="K12" s="499"/>
      <c r="L12" s="3"/>
      <c r="M12" s="3"/>
      <c r="N12" s="3"/>
      <c r="O12" s="3"/>
    </row>
    <row r="13" spans="1:15" s="1" customFormat="1" ht="10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3"/>
      <c r="N13" s="3"/>
      <c r="O13" s="3"/>
    </row>
    <row r="14" spans="1:15" s="1" customFormat="1" ht="14">
      <c r="A14" s="504" t="s">
        <v>1</v>
      </c>
      <c r="B14" s="505"/>
      <c r="C14" s="507" t="s">
        <v>57</v>
      </c>
      <c r="D14" s="508"/>
      <c r="E14" s="508"/>
      <c r="F14" s="508"/>
      <c r="G14" s="508"/>
      <c r="H14" s="508"/>
      <c r="I14" s="508"/>
      <c r="J14" s="508"/>
      <c r="K14" s="508"/>
      <c r="L14" s="505"/>
      <c r="M14" s="3"/>
      <c r="N14" s="3"/>
      <c r="O14" s="3"/>
    </row>
    <row r="15" spans="1:15" s="1" customFormat="1" ht="30.75" customHeight="1">
      <c r="A15" s="88">
        <v>1</v>
      </c>
      <c r="B15" s="85" t="str">
        <f>IF('Operating Costs'!B14="","",'Operating Costs'!B14)</f>
        <v>External Database Fee (.26% of Contract)</v>
      </c>
      <c r="C15" s="500" t="s">
        <v>82</v>
      </c>
      <c r="D15" s="501"/>
      <c r="E15" s="501"/>
      <c r="F15" s="501"/>
      <c r="G15" s="501"/>
      <c r="H15" s="501"/>
      <c r="I15" s="502"/>
      <c r="J15" s="502"/>
      <c r="K15" s="502"/>
      <c r="L15" s="503"/>
      <c r="M15" s="89"/>
      <c r="N15" s="3"/>
      <c r="O15" s="3"/>
    </row>
    <row r="16" spans="1:15" s="1" customFormat="1" ht="25.5" customHeight="1">
      <c r="A16" s="88">
        <f>A15+1</f>
        <v>2</v>
      </c>
      <c r="B16" s="85" t="str">
        <f>IF('Operating Costs'!B15="","",'Operating Costs'!B15)</f>
        <v>Client Housing Support (70)</v>
      </c>
      <c r="C16" s="492"/>
      <c r="D16" s="493"/>
      <c r="E16" s="493"/>
      <c r="F16" s="493"/>
      <c r="G16" s="493"/>
      <c r="H16" s="493"/>
      <c r="I16" s="493"/>
      <c r="J16" s="493"/>
      <c r="K16" s="493"/>
      <c r="L16" s="494"/>
      <c r="M16" s="3"/>
      <c r="N16" s="3"/>
      <c r="O16" s="3"/>
    </row>
    <row r="17" spans="1:15" s="1" customFormat="1" ht="25.5" customHeight="1">
      <c r="A17" s="88">
        <f t="shared" ref="A17:A30" si="0">A16+1</f>
        <v>3</v>
      </c>
      <c r="B17" s="85" t="str">
        <f>IF('Operating Costs'!B16="","",'Operating Costs'!B16)</f>
        <v>Client Flexible Support (72)</v>
      </c>
      <c r="C17" s="495"/>
      <c r="D17" s="496"/>
      <c r="E17" s="496"/>
      <c r="F17" s="496"/>
      <c r="G17" s="496"/>
      <c r="H17" s="496"/>
      <c r="I17" s="496"/>
      <c r="J17" s="496"/>
      <c r="K17" s="496"/>
      <c r="L17" s="497"/>
      <c r="M17" s="3"/>
      <c r="N17" s="3"/>
      <c r="O17" s="3"/>
    </row>
    <row r="18" spans="1:15" s="1" customFormat="1" ht="30" customHeight="1">
      <c r="A18" s="88">
        <f t="shared" si="0"/>
        <v>4</v>
      </c>
      <c r="B18" s="85" t="str">
        <f>IF('Operating Costs'!B17="","",'Operating Costs'!B17)</f>
        <v>Other Non-MediCal Support (78)</v>
      </c>
      <c r="C18" s="492"/>
      <c r="D18" s="493"/>
      <c r="E18" s="493"/>
      <c r="F18" s="493"/>
      <c r="G18" s="493"/>
      <c r="H18" s="493"/>
      <c r="I18" s="493"/>
      <c r="J18" s="493"/>
      <c r="K18" s="493"/>
      <c r="L18" s="494"/>
      <c r="M18" s="3"/>
      <c r="N18" s="3"/>
      <c r="O18" s="3"/>
    </row>
    <row r="19" spans="1:15" s="1" customFormat="1" ht="30" customHeight="1">
      <c r="A19" s="88">
        <f t="shared" si="0"/>
        <v>5</v>
      </c>
      <c r="B19" s="85" t="str">
        <f>IF('Operating Costs'!B18="","",'Operating Costs'!B18)</f>
        <v>Operating Income</v>
      </c>
      <c r="C19" s="492"/>
      <c r="D19" s="493"/>
      <c r="E19" s="493"/>
      <c r="F19" s="493"/>
      <c r="G19" s="493"/>
      <c r="H19" s="493"/>
      <c r="I19" s="493"/>
      <c r="J19" s="493"/>
      <c r="K19" s="493"/>
      <c r="L19" s="494"/>
      <c r="M19" s="3"/>
      <c r="N19" s="3"/>
      <c r="O19" s="3"/>
    </row>
    <row r="20" spans="1:15" s="1" customFormat="1" ht="30" customHeight="1">
      <c r="A20" s="88">
        <f t="shared" si="0"/>
        <v>6</v>
      </c>
      <c r="B20" s="85" t="str">
        <f>IF('Operating Costs'!B19="","",'Operating Costs'!B19)</f>
        <v/>
      </c>
      <c r="C20" s="492"/>
      <c r="D20" s="493"/>
      <c r="E20" s="493"/>
      <c r="F20" s="493"/>
      <c r="G20" s="493"/>
      <c r="H20" s="493"/>
      <c r="I20" s="493"/>
      <c r="J20" s="493"/>
      <c r="K20" s="493"/>
      <c r="L20" s="494"/>
      <c r="M20" s="3"/>
      <c r="N20" s="3"/>
      <c r="O20" s="3"/>
    </row>
    <row r="21" spans="1:15" s="1" customFormat="1" ht="30" customHeight="1">
      <c r="A21" s="88">
        <f t="shared" si="0"/>
        <v>7</v>
      </c>
      <c r="B21" s="85" t="str">
        <f>IF('Operating Costs'!B20="","",'Operating Costs'!B20)</f>
        <v/>
      </c>
      <c r="C21" s="492"/>
      <c r="D21" s="493"/>
      <c r="E21" s="493"/>
      <c r="F21" s="493"/>
      <c r="G21" s="493"/>
      <c r="H21" s="493"/>
      <c r="I21" s="493"/>
      <c r="J21" s="493"/>
      <c r="K21" s="493"/>
      <c r="L21" s="494"/>
    </row>
    <row r="22" spans="1:15" s="1" customFormat="1" ht="39" customHeight="1">
      <c r="A22" s="88">
        <f t="shared" si="0"/>
        <v>8</v>
      </c>
      <c r="B22" s="85" t="str">
        <f>IF('Operating Costs'!B21="","",'Operating Costs'!B21)</f>
        <v/>
      </c>
      <c r="C22" s="492"/>
      <c r="D22" s="493"/>
      <c r="E22" s="493"/>
      <c r="F22" s="493"/>
      <c r="G22" s="493"/>
      <c r="H22" s="493"/>
      <c r="I22" s="493"/>
      <c r="J22" s="493"/>
      <c r="K22" s="493"/>
      <c r="L22" s="494"/>
    </row>
    <row r="23" spans="1:15" s="1" customFormat="1" ht="27" customHeight="1">
      <c r="A23" s="88">
        <f t="shared" si="0"/>
        <v>9</v>
      </c>
      <c r="B23" s="85" t="str">
        <f>IF('Operating Costs'!B22="","",'Operating Costs'!B22)</f>
        <v/>
      </c>
      <c r="C23" s="492"/>
      <c r="D23" s="493"/>
      <c r="E23" s="493"/>
      <c r="F23" s="493"/>
      <c r="G23" s="493"/>
      <c r="H23" s="493"/>
      <c r="I23" s="493"/>
      <c r="J23" s="493"/>
      <c r="K23" s="493"/>
      <c r="L23" s="494"/>
    </row>
    <row r="24" spans="1:15" s="1" customFormat="1" ht="36.75" customHeight="1">
      <c r="A24" s="88">
        <f t="shared" si="0"/>
        <v>10</v>
      </c>
      <c r="B24" s="85" t="str">
        <f>IF('Operating Costs'!B23="","",'Operating Costs'!B23)</f>
        <v/>
      </c>
      <c r="C24" s="492"/>
      <c r="D24" s="493"/>
      <c r="E24" s="493"/>
      <c r="F24" s="493"/>
      <c r="G24" s="493"/>
      <c r="H24" s="493"/>
      <c r="I24" s="493"/>
      <c r="J24" s="493"/>
      <c r="K24" s="493"/>
      <c r="L24" s="494"/>
    </row>
    <row r="25" spans="1:15" s="1" customFormat="1" ht="30" customHeight="1">
      <c r="A25" s="88">
        <f t="shared" si="0"/>
        <v>11</v>
      </c>
      <c r="B25" s="85" t="str">
        <f>IF('Operating Costs'!B24="","",'Operating Costs'!B24)</f>
        <v/>
      </c>
      <c r="C25" s="492"/>
      <c r="D25" s="493"/>
      <c r="E25" s="493"/>
      <c r="F25" s="493"/>
      <c r="G25" s="493"/>
      <c r="H25" s="493"/>
      <c r="I25" s="493"/>
      <c r="J25" s="493"/>
      <c r="K25" s="493"/>
      <c r="L25" s="494"/>
    </row>
    <row r="26" spans="1:15" s="1" customFormat="1" ht="30" customHeight="1">
      <c r="A26" s="88">
        <f t="shared" si="0"/>
        <v>12</v>
      </c>
      <c r="B26" s="85" t="str">
        <f>IF('Operating Costs'!B25="","",'Operating Costs'!B25)</f>
        <v/>
      </c>
      <c r="C26" s="492"/>
      <c r="D26" s="493"/>
      <c r="E26" s="493"/>
      <c r="F26" s="493"/>
      <c r="G26" s="493"/>
      <c r="H26" s="493"/>
      <c r="I26" s="493"/>
      <c r="J26" s="493"/>
      <c r="K26" s="493"/>
      <c r="L26" s="494"/>
    </row>
    <row r="27" spans="1:15" s="1" customFormat="1" ht="30" customHeight="1">
      <c r="A27" s="88">
        <f t="shared" si="0"/>
        <v>13</v>
      </c>
      <c r="B27" s="85" t="str">
        <f>IF('Operating Costs'!B26="","",'Operating Costs'!B26)</f>
        <v/>
      </c>
      <c r="C27" s="492"/>
      <c r="D27" s="493"/>
      <c r="E27" s="493"/>
      <c r="F27" s="493"/>
      <c r="G27" s="493"/>
      <c r="H27" s="493"/>
      <c r="I27" s="493"/>
      <c r="J27" s="493"/>
      <c r="K27" s="493"/>
      <c r="L27" s="494"/>
    </row>
    <row r="28" spans="1:15" s="1" customFormat="1" ht="30" customHeight="1">
      <c r="A28" s="88">
        <f t="shared" si="0"/>
        <v>14</v>
      </c>
      <c r="B28" s="85" t="str">
        <f>IF('Operating Costs'!B27="","",'Operating Costs'!B27)</f>
        <v/>
      </c>
      <c r="C28" s="492"/>
      <c r="D28" s="493"/>
      <c r="E28" s="493"/>
      <c r="F28" s="493"/>
      <c r="G28" s="493"/>
      <c r="H28" s="493"/>
      <c r="I28" s="493"/>
      <c r="J28" s="493"/>
      <c r="K28" s="493"/>
      <c r="L28" s="494"/>
    </row>
    <row r="29" spans="1:15" s="1" customFormat="1" ht="18.75" customHeight="1">
      <c r="A29" s="88">
        <f t="shared" si="0"/>
        <v>15</v>
      </c>
      <c r="B29" s="85" t="str">
        <f>IF('Operating Costs'!B28="","",'Operating Costs'!B28)</f>
        <v/>
      </c>
      <c r="C29" s="495"/>
      <c r="D29" s="496"/>
      <c r="E29" s="496"/>
      <c r="F29" s="496"/>
      <c r="G29" s="496"/>
      <c r="H29" s="496"/>
      <c r="I29" s="496"/>
      <c r="J29" s="496"/>
      <c r="K29" s="496"/>
      <c r="L29" s="497"/>
    </row>
    <row r="30" spans="1:15" s="1" customFormat="1" ht="18.75" customHeight="1">
      <c r="A30" s="88">
        <f t="shared" si="0"/>
        <v>16</v>
      </c>
      <c r="B30" s="85" t="str">
        <f>IF('Operating Costs'!B29="","",'Operating Costs'!B29)</f>
        <v/>
      </c>
      <c r="C30" s="495"/>
      <c r="D30" s="496"/>
      <c r="E30" s="496"/>
      <c r="F30" s="496"/>
      <c r="G30" s="496"/>
      <c r="H30" s="496"/>
      <c r="I30" s="496"/>
      <c r="J30" s="496"/>
      <c r="K30" s="496"/>
      <c r="L30" s="497"/>
    </row>
    <row r="32" spans="1:15">
      <c r="A32" s="65"/>
    </row>
  </sheetData>
  <sheetProtection insertRows="0" selectLockedCells="1"/>
  <mergeCells count="34">
    <mergeCell ref="C24:L24"/>
    <mergeCell ref="A14:B14"/>
    <mergeCell ref="A8:B8"/>
    <mergeCell ref="A9:B9"/>
    <mergeCell ref="C14:L14"/>
    <mergeCell ref="C22:L22"/>
    <mergeCell ref="C23:L23"/>
    <mergeCell ref="C19:L19"/>
    <mergeCell ref="C20:L20"/>
    <mergeCell ref="C18:L18"/>
    <mergeCell ref="C17:L17"/>
    <mergeCell ref="C21:L21"/>
    <mergeCell ref="D5:E5"/>
    <mergeCell ref="A1:L1"/>
    <mergeCell ref="A2:L2"/>
    <mergeCell ref="A3:L3"/>
    <mergeCell ref="I5:L5"/>
    <mergeCell ref="A4:L4"/>
    <mergeCell ref="D6:E6"/>
    <mergeCell ref="I6:L6"/>
    <mergeCell ref="C26:L26"/>
    <mergeCell ref="C30:L30"/>
    <mergeCell ref="C25:L25"/>
    <mergeCell ref="C27:L27"/>
    <mergeCell ref="I7:L7"/>
    <mergeCell ref="I8:L8"/>
    <mergeCell ref="I9:L9"/>
    <mergeCell ref="I10:L10"/>
    <mergeCell ref="B11:K11"/>
    <mergeCell ref="B12:K12"/>
    <mergeCell ref="C15:L15"/>
    <mergeCell ref="C28:L28"/>
    <mergeCell ref="C29:L29"/>
    <mergeCell ref="C16:L16"/>
  </mergeCells>
  <phoneticPr fontId="32" type="noConversion"/>
  <pageMargins left="0.82" right="0.83" top="0.43" bottom="0.42" header="0.4" footer="0.22"/>
  <pageSetup scale="6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98029-DEDB-4BE0-A01B-73E80538024E}">
  <dimension ref="A1:AC36"/>
  <sheetViews>
    <sheetView topLeftCell="A14" zoomScale="70" zoomScaleNormal="70" workbookViewId="0">
      <selection activeCell="N17" sqref="N17"/>
    </sheetView>
  </sheetViews>
  <sheetFormatPr defaultColWidth="9.1796875" defaultRowHeight="12.5"/>
  <cols>
    <col min="1" max="1" width="5.7265625" style="3" customWidth="1"/>
    <col min="2" max="3" width="15.1796875" style="3" customWidth="1"/>
    <col min="4" max="4" width="14.7265625" style="3" customWidth="1"/>
    <col min="5" max="5" width="16.54296875" style="3" customWidth="1"/>
    <col min="6" max="7" width="14.7265625" style="3" customWidth="1"/>
    <col min="8" max="8" width="16.26953125" style="3" hidden="1" customWidth="1"/>
    <col min="9" max="9" width="16.26953125" style="3" customWidth="1"/>
    <col min="10" max="11" width="19.26953125" style="3" customWidth="1"/>
    <col min="12" max="12" width="14.7265625" style="3" customWidth="1"/>
    <col min="13" max="13" width="13.81640625" style="3" customWidth="1"/>
    <col min="14" max="15" width="10" style="3" customWidth="1"/>
    <col min="16" max="16" width="17.81640625" style="3" hidden="1" customWidth="1"/>
    <col min="17" max="17" width="48.81640625" style="3" hidden="1" customWidth="1"/>
    <col min="18" max="20" width="17.7265625" style="3" hidden="1" customWidth="1"/>
    <col min="21" max="21" width="4.1796875" style="3" hidden="1" customWidth="1"/>
    <col min="22" max="22" width="23.26953125" style="3" hidden="1" customWidth="1"/>
    <col min="23" max="23" width="11.54296875" style="3" hidden="1" customWidth="1"/>
    <col min="24" max="24" width="16.81640625" style="3" hidden="1" customWidth="1"/>
    <col min="25" max="25" width="17.7265625" style="3" hidden="1" customWidth="1"/>
    <col min="26" max="28" width="17.1796875" style="3" hidden="1" customWidth="1"/>
    <col min="29" max="29" width="15.7265625" style="3" hidden="1" customWidth="1"/>
    <col min="30" max="16384" width="9.1796875" style="3"/>
  </cols>
  <sheetData>
    <row r="1" spans="1:29" ht="13">
      <c r="B1" s="405" t="s">
        <v>4</v>
      </c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135"/>
      <c r="Q1" s="135"/>
      <c r="R1" s="135"/>
      <c r="S1" s="135"/>
      <c r="T1" s="135"/>
      <c r="U1" s="135"/>
      <c r="V1" s="135"/>
    </row>
    <row r="2" spans="1:29" ht="13">
      <c r="B2" s="405" t="s">
        <v>5</v>
      </c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  <c r="O2" s="405"/>
      <c r="P2" s="135"/>
      <c r="Q2" s="135"/>
      <c r="R2" s="135"/>
      <c r="S2" s="135"/>
      <c r="T2" s="135"/>
      <c r="U2" s="135"/>
      <c r="V2" s="135"/>
    </row>
    <row r="3" spans="1:29" ht="13">
      <c r="B3" s="465" t="s">
        <v>0</v>
      </c>
      <c r="C3" s="465"/>
      <c r="D3" s="465"/>
      <c r="E3" s="465"/>
      <c r="F3" s="465"/>
      <c r="G3" s="465"/>
      <c r="H3" s="465"/>
      <c r="I3" s="465"/>
      <c r="J3" s="465"/>
      <c r="K3" s="465"/>
      <c r="L3" s="465"/>
      <c r="M3" s="465"/>
      <c r="N3" s="465"/>
      <c r="O3" s="465"/>
      <c r="P3" s="53"/>
      <c r="Q3" s="53"/>
      <c r="R3" s="53"/>
      <c r="S3" s="53"/>
      <c r="T3" s="53"/>
      <c r="U3" s="53"/>
      <c r="V3" s="53"/>
    </row>
    <row r="4" spans="1:29" ht="11.25" customHeight="1">
      <c r="A4" s="5"/>
      <c r="B4" s="471" t="str">
        <f>'Schedule A'!F4</f>
        <v>FY 2027-2028</v>
      </c>
      <c r="C4" s="471"/>
      <c r="D4" s="471"/>
      <c r="E4" s="471"/>
      <c r="F4" s="471"/>
      <c r="G4" s="471"/>
      <c r="H4" s="471"/>
      <c r="I4" s="471"/>
      <c r="J4" s="471"/>
      <c r="K4" s="471"/>
      <c r="L4" s="471"/>
      <c r="M4" s="471"/>
      <c r="N4" s="471"/>
      <c r="O4" s="471"/>
      <c r="Q4" s="136"/>
      <c r="R4" s="136"/>
      <c r="T4" s="9"/>
      <c r="U4" s="137"/>
      <c r="V4"/>
      <c r="W4"/>
      <c r="X4"/>
    </row>
    <row r="5" spans="1:29" s="138" customFormat="1" ht="15.75" customHeight="1" thickBot="1">
      <c r="A5" s="2"/>
      <c r="B5" s="471">
        <f>'Schedule A'!F5</f>
        <v>0</v>
      </c>
      <c r="C5" s="465"/>
      <c r="D5" s="465"/>
      <c r="E5" s="465"/>
      <c r="F5" s="465"/>
      <c r="G5" s="465"/>
      <c r="H5" s="465"/>
      <c r="I5" s="465"/>
      <c r="J5" s="465"/>
      <c r="K5" s="465"/>
      <c r="L5" s="465"/>
      <c r="M5" s="465"/>
      <c r="N5" s="465"/>
      <c r="O5" s="465"/>
      <c r="Q5" s="223"/>
      <c r="R5" s="223"/>
      <c r="S5" s="223"/>
      <c r="T5" s="223"/>
      <c r="X5" s="509" t="s">
        <v>304</v>
      </c>
      <c r="Y5" s="509"/>
      <c r="Z5" s="509"/>
      <c r="AA5" s="509"/>
      <c r="AB5" s="509"/>
      <c r="AC5" s="509"/>
    </row>
    <row r="6" spans="1:29" s="138" customFormat="1" ht="25.5" thickBot="1">
      <c r="A6" s="2"/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139"/>
      <c r="Q6" s="223"/>
      <c r="R6" s="223" t="s">
        <v>141</v>
      </c>
      <c r="S6" s="223" t="s">
        <v>141</v>
      </c>
      <c r="T6" s="223" t="s">
        <v>142</v>
      </c>
      <c r="X6" s="297" t="s">
        <v>299</v>
      </c>
      <c r="Y6" s="298" t="s">
        <v>300</v>
      </c>
      <c r="Z6" s="298" t="s">
        <v>301</v>
      </c>
      <c r="AA6" s="298" t="s">
        <v>271</v>
      </c>
      <c r="AB6" s="298" t="s">
        <v>302</v>
      </c>
      <c r="AC6" s="299" t="s">
        <v>303</v>
      </c>
    </row>
    <row r="7" spans="1:29" s="138" customFormat="1" ht="34" customHeight="1" thickBot="1">
      <c r="A7" s="2"/>
      <c r="J7" s="139"/>
      <c r="K7" s="139"/>
      <c r="L7" s="139"/>
      <c r="M7" s="139"/>
      <c r="N7" s="139"/>
      <c r="O7" s="139"/>
      <c r="P7" s="187" t="s">
        <v>116</v>
      </c>
      <c r="Q7" s="262" t="str">
        <f>'SMHS Rates for Program'!A2</f>
        <v>Provider Type</v>
      </c>
      <c r="R7" s="262" t="str">
        <f>'SMHS Rates for Program'!B2</f>
        <v>Hourly Rate</v>
      </c>
      <c r="S7" s="262" t="str">
        <f>'SMHS Rates for Program'!C2</f>
        <v>Min Rate</v>
      </c>
      <c r="T7" s="262" t="s">
        <v>143</v>
      </c>
      <c r="U7" s="139"/>
      <c r="V7" s="5" t="s">
        <v>144</v>
      </c>
      <c r="W7" s="139"/>
      <c r="X7" s="139"/>
      <c r="Y7" s="5"/>
      <c r="Z7" s="5"/>
      <c r="AA7" s="5"/>
      <c r="AB7" s="5"/>
      <c r="AC7" s="5"/>
    </row>
    <row r="8" spans="1:29" s="1" customFormat="1" ht="19.5" customHeight="1" thickBot="1">
      <c r="A8" s="3"/>
      <c r="B8" s="284"/>
      <c r="E8" s="514" t="s">
        <v>304</v>
      </c>
      <c r="F8" s="515"/>
      <c r="G8" s="515"/>
      <c r="H8" s="515"/>
      <c r="I8" s="515"/>
      <c r="J8" s="516"/>
      <c r="K8" s="9" t="str">
        <f>'Schedule A'!A3</f>
        <v>Contractor Name:</v>
      </c>
      <c r="L8" s="466" t="str">
        <f>IF('Schedule A'!C3:C3="","",'Schedule A'!C3)</f>
        <v/>
      </c>
      <c r="M8" s="466"/>
      <c r="N8" s="466"/>
      <c r="O8" s="329"/>
      <c r="P8" s="187" t="s">
        <v>117</v>
      </c>
      <c r="Q8" s="1" t="str">
        <f>RATES!A4</f>
        <v>Certified AOD Counselor</v>
      </c>
      <c r="R8" s="219">
        <f>'SMHS Rates for Program'!B3</f>
        <v>276.24</v>
      </c>
      <c r="S8" s="219">
        <f>'SMHS Rates for Program'!C3</f>
        <v>4.6040000000000001</v>
      </c>
      <c r="T8" s="219">
        <f>'SMHS Rates for Program'!D3</f>
        <v>4.6040000000000001</v>
      </c>
      <c r="U8" s="3"/>
      <c r="V8" s="222" t="str">
        <f>IF(COUNTIF('Service Delivery Staff'!$D$12:$D$30,'Srv Proj Modes 05,10,15'!Q8)&gt;0,SUMIF('Service Delivery Staff'!$D$12:$D$30,'Srv Proj Modes 05,10,15'!Q8,'Service Delivery Staff'!$P$12:$P$30),"0")</f>
        <v>0</v>
      </c>
      <c r="W8" s="185"/>
      <c r="X8" s="271" t="str">
        <f>'Staffing Planning Worksheet'!H6</f>
        <v>Include</v>
      </c>
      <c r="Y8" s="271" t="str">
        <f>'Staffing Planning Worksheet'!I6</f>
        <v>Include</v>
      </c>
      <c r="Z8" s="271" t="str">
        <f>'Staffing Planning Worksheet'!J6</f>
        <v>Don't Include</v>
      </c>
      <c r="AA8" s="271" t="str">
        <f>'Staffing Planning Worksheet'!K6</f>
        <v>Don't Include</v>
      </c>
      <c r="AB8" s="271" t="str">
        <f>'Staffing Planning Worksheet'!L6</f>
        <v>Don't Include</v>
      </c>
      <c r="AC8" s="271" t="str">
        <f>'Staffing Planning Worksheet'!M6</f>
        <v>Include</v>
      </c>
    </row>
    <row r="9" spans="1:29" s="1" customFormat="1" ht="39" customHeight="1" thickBot="1">
      <c r="B9" s="284"/>
      <c r="E9" s="304" t="s">
        <v>299</v>
      </c>
      <c r="F9" s="305" t="s">
        <v>300</v>
      </c>
      <c r="G9" s="305" t="s">
        <v>301</v>
      </c>
      <c r="H9" s="305" t="s">
        <v>271</v>
      </c>
      <c r="I9" s="305" t="s">
        <v>302</v>
      </c>
      <c r="J9" s="306" t="s">
        <v>303</v>
      </c>
      <c r="K9" s="9" t="str">
        <f>'Schedule A'!A4</f>
        <v>RU #</v>
      </c>
      <c r="L9" s="466" t="str">
        <f>IF('Schedule A'!C4:C4="","",'Schedule A'!C4)</f>
        <v/>
      </c>
      <c r="M9" s="466"/>
      <c r="N9" s="466"/>
      <c r="O9" s="329"/>
      <c r="P9" s="340">
        <v>0.1</v>
      </c>
      <c r="Q9" s="1" t="str">
        <f>RATES!A5</f>
        <v>Community Health Worker</v>
      </c>
      <c r="R9" s="219">
        <f>'SMHS Rates for Program'!B4</f>
        <v>256.82</v>
      </c>
      <c r="S9" s="219">
        <f>'SMHS Rates for Program'!C4</f>
        <v>4.2803333333333331</v>
      </c>
      <c r="T9" s="219">
        <f>'SMHS Rates for Program'!D4</f>
        <v>4.2803333333333331</v>
      </c>
      <c r="U9" s="3"/>
      <c r="V9" s="222" t="str">
        <f>IF(COUNTIF('Service Delivery Staff'!$D$12:$D$30,'Srv Proj Modes 05,10,15'!Q9)&gt;0,SUMIF('Service Delivery Staff'!$D$12:$D$30,'Srv Proj Modes 05,10,15'!Q9,'Service Delivery Staff'!$P$12:$P$30),"0")</f>
        <v>0</v>
      </c>
      <c r="W9" s="185"/>
      <c r="X9" s="271" t="str">
        <f>'Staffing Planning Worksheet'!H7</f>
        <v>Don't Include</v>
      </c>
      <c r="Y9" s="271" t="str">
        <f>'Staffing Planning Worksheet'!I7</f>
        <v>Include</v>
      </c>
      <c r="Z9" s="271" t="str">
        <f>'Staffing Planning Worksheet'!J7</f>
        <v>Don't Include</v>
      </c>
      <c r="AA9" s="271" t="str">
        <f>'Staffing Planning Worksheet'!K7</f>
        <v>Don't Include</v>
      </c>
      <c r="AB9" s="271" t="str">
        <f>'Staffing Planning Worksheet'!L7</f>
        <v>Don't Include</v>
      </c>
      <c r="AC9" s="271" t="str">
        <f>'Staffing Planning Worksheet'!M7</f>
        <v>Don't Include</v>
      </c>
    </row>
    <row r="10" spans="1:29" ht="24.75" customHeight="1">
      <c r="A10" s="141"/>
      <c r="C10" s="401">
        <f>IFERROR('Schedule A'!L36/((((2080-80-80-40)*60)*'Service Delivery Staff'!P31)-(P9*(2080-80-80-40)*60)*'Service Delivery Staff'!P31),0)</f>
        <v>0</v>
      </c>
      <c r="E10" s="303" t="s">
        <v>149</v>
      </c>
      <c r="F10" s="303" t="s">
        <v>149</v>
      </c>
      <c r="G10" s="303" t="s">
        <v>149</v>
      </c>
      <c r="H10" s="303" t="s">
        <v>149</v>
      </c>
      <c r="I10" s="307" t="s">
        <v>149</v>
      </c>
      <c r="J10" s="303" t="s">
        <v>149</v>
      </c>
      <c r="K10" s="9" t="str">
        <f>'Schedule A'!A5</f>
        <v>Contract # / RFP #</v>
      </c>
      <c r="L10" s="466" t="str">
        <f>IF('Schedule A'!C5:C5="","",'Schedule A'!C5)</f>
        <v/>
      </c>
      <c r="M10" s="466"/>
      <c r="N10" s="466"/>
      <c r="O10" s="329"/>
      <c r="Q10" s="1" t="str">
        <f>RATES!A6</f>
        <v>LCSW (Licensed, Waivered or Registered)</v>
      </c>
      <c r="R10" s="219">
        <f>'SMHS Rates for Program'!B5</f>
        <v>333.03</v>
      </c>
      <c r="S10" s="219">
        <f>'SMHS Rates for Program'!C5</f>
        <v>5.5504999999999995</v>
      </c>
      <c r="T10" s="219">
        <f>'SMHS Rates for Program'!D5</f>
        <v>5.5504999999999995</v>
      </c>
      <c r="V10" s="222" t="str">
        <f>IF(COUNTIF('Service Delivery Staff'!$D$12:$D$30,'Srv Proj Modes 05,10,15'!Q10)&gt;0,SUMIF('Service Delivery Staff'!$D$12:$D$30,'Srv Proj Modes 05,10,15'!Q10,'Service Delivery Staff'!$P$12:$P$30),"0")</f>
        <v>0</v>
      </c>
      <c r="W10" s="185"/>
      <c r="X10" s="271" t="str">
        <f>'Staffing Planning Worksheet'!H8</f>
        <v>Include</v>
      </c>
      <c r="Y10" s="271" t="str">
        <f>'Staffing Planning Worksheet'!I8</f>
        <v>Include</v>
      </c>
      <c r="Z10" s="271" t="str">
        <f>'Staffing Planning Worksheet'!J8</f>
        <v>Include</v>
      </c>
      <c r="AA10" s="271" t="str">
        <f>'Staffing Planning Worksheet'!K8</f>
        <v>Don't Include</v>
      </c>
      <c r="AB10" s="271" t="str">
        <f>'Staffing Planning Worksheet'!L8</f>
        <v>Don't Include</v>
      </c>
      <c r="AC10" s="271" t="str">
        <f>'Staffing Planning Worksheet'!M8</f>
        <v>Include</v>
      </c>
    </row>
    <row r="11" spans="1:29" ht="19.5" customHeight="1">
      <c r="A11" s="89"/>
      <c r="C11" s="302" t="s">
        <v>258</v>
      </c>
      <c r="E11" s="389">
        <f t="shared" ref="E11:J11" si="0">IFERROR((X26),0)</f>
        <v>0</v>
      </c>
      <c r="F11" s="389">
        <f t="shared" si="0"/>
        <v>0</v>
      </c>
      <c r="G11" s="389">
        <f t="shared" si="0"/>
        <v>0</v>
      </c>
      <c r="H11" s="389">
        <f t="shared" si="0"/>
        <v>0</v>
      </c>
      <c r="I11" s="389">
        <f t="shared" si="0"/>
        <v>0</v>
      </c>
      <c r="J11" s="389">
        <f t="shared" si="0"/>
        <v>0</v>
      </c>
      <c r="K11" s="9" t="str">
        <f>'Schedule A'!A6</f>
        <v>Address:</v>
      </c>
      <c r="L11" s="466" t="str">
        <f>IF('Schedule A'!C6:C6="","",'Schedule A'!C6)</f>
        <v/>
      </c>
      <c r="M11" s="466"/>
      <c r="N11" s="466"/>
      <c r="O11" s="329"/>
      <c r="Q11" s="1" t="str">
        <f>RATES!A7</f>
        <v>Licensed Physician</v>
      </c>
      <c r="R11" s="219">
        <f>'SMHS Rates for Program'!B6</f>
        <v>1279.6400000000001</v>
      </c>
      <c r="S11" s="219">
        <f>'SMHS Rates for Program'!C6</f>
        <v>21.327333333333335</v>
      </c>
      <c r="T11" s="219">
        <f>'SMHS Rates for Program'!D6</f>
        <v>21.327333333333335</v>
      </c>
      <c r="V11" s="222" t="str">
        <f>IF(COUNTIF('Service Delivery Staff'!$D$12:$D$30,'Srv Proj Modes 05,10,15'!Q11)&gt;0,SUMIF('Service Delivery Staff'!$D$12:$D$30,'Srv Proj Modes 05,10,15'!Q11,'Service Delivery Staff'!$P$12:$P$30),"0")</f>
        <v>0</v>
      </c>
      <c r="W11" s="185"/>
      <c r="X11" s="271" t="str">
        <f>'Staffing Planning Worksheet'!H9</f>
        <v>Don't Include</v>
      </c>
      <c r="Y11" s="271" t="str">
        <f>'Staffing Planning Worksheet'!I9</f>
        <v>Don't Include</v>
      </c>
      <c r="Z11" s="271" t="str">
        <f>'Staffing Planning Worksheet'!J9</f>
        <v>Don't Include</v>
      </c>
      <c r="AA11" s="271" t="str">
        <f>'Staffing Planning Worksheet'!K9</f>
        <v>Don't Include</v>
      </c>
      <c r="AB11" s="271" t="str">
        <f>'Staffing Planning Worksheet'!L9</f>
        <v>Include</v>
      </c>
      <c r="AC11" s="271" t="str">
        <f>'Staffing Planning Worksheet'!M9</f>
        <v>Don't Include</v>
      </c>
    </row>
    <row r="12" spans="1:29" ht="19.5" customHeight="1">
      <c r="C12" s="89"/>
      <c r="D12" s="89"/>
      <c r="E12" s="178"/>
      <c r="F12" s="178"/>
      <c r="G12" s="178"/>
      <c r="H12" s="178"/>
      <c r="I12" s="178"/>
      <c r="J12" s="140"/>
      <c r="K12" s="9" t="str">
        <f>'Schedule A'!A7</f>
        <v>City, State, Zip Code:</v>
      </c>
      <c r="L12" s="466" t="str">
        <f>IF('Schedule A'!C7:C7="","",'Schedule A'!C7)</f>
        <v/>
      </c>
      <c r="M12" s="466"/>
      <c r="N12" s="466"/>
      <c r="O12" s="329"/>
      <c r="Q12" s="1" t="str">
        <f>RATES!A8</f>
        <v>Licensed Psychiatric Technician</v>
      </c>
      <c r="R12" s="219">
        <f>'SMHS Rates for Program'!B7</f>
        <v>234.08</v>
      </c>
      <c r="S12" s="219">
        <f>'SMHS Rates for Program'!C7</f>
        <v>3.9013333333333335</v>
      </c>
      <c r="T12" s="219">
        <f>'SMHS Rates for Program'!D7</f>
        <v>3.9013333333333335</v>
      </c>
      <c r="V12" s="222" t="str">
        <f>IF(COUNTIF('Service Delivery Staff'!$D$12:$D$30,'Srv Proj Modes 05,10,15'!Q12)&gt;0,SUMIF('Service Delivery Staff'!$D$12:$D$30,'Srv Proj Modes 05,10,15'!Q12,'Service Delivery Staff'!$P$12:$P$30),"0")</f>
        <v>0</v>
      </c>
      <c r="W12" s="185"/>
      <c r="X12" s="271" t="str">
        <f>'Staffing Planning Worksheet'!H10</f>
        <v>Don't Include</v>
      </c>
      <c r="Y12" s="271" t="str">
        <f>'Staffing Planning Worksheet'!I10</f>
        <v>Don't Include</v>
      </c>
      <c r="Z12" s="271" t="str">
        <f>'Staffing Planning Worksheet'!J10</f>
        <v>Don't Include</v>
      </c>
      <c r="AA12" s="271" t="str">
        <f>'Staffing Planning Worksheet'!K10</f>
        <v>Don't Include</v>
      </c>
      <c r="AB12" s="271" t="str">
        <f>'Staffing Planning Worksheet'!L10</f>
        <v>Include</v>
      </c>
      <c r="AC12" s="271" t="str">
        <f>'Staffing Planning Worksheet'!M10</f>
        <v>Don't Include</v>
      </c>
    </row>
    <row r="13" spans="1:29" ht="19.5" customHeight="1">
      <c r="J13" s="140"/>
      <c r="K13" s="9" t="str">
        <f>'Schedule A'!A8</f>
        <v>Date Form Completed:</v>
      </c>
      <c r="L13" s="523" t="str">
        <f>IF('Schedule A'!C8:C8="","",'Schedule A'!C8)</f>
        <v/>
      </c>
      <c r="M13" s="523"/>
      <c r="N13" s="523"/>
      <c r="O13" s="329"/>
      <c r="Q13" s="1" t="str">
        <f>RATES!A9</f>
        <v>Licensed Vocational Nurse</v>
      </c>
      <c r="R13" s="219">
        <f>'SMHS Rates for Program'!B8</f>
        <v>273.05</v>
      </c>
      <c r="S13" s="219">
        <f>'SMHS Rates for Program'!C8</f>
        <v>4.5508333333333333</v>
      </c>
      <c r="T13" s="219">
        <f>'SMHS Rates for Program'!D8</f>
        <v>4.5508333333333333</v>
      </c>
      <c r="V13" s="222" t="str">
        <f>IF(COUNTIF('Service Delivery Staff'!$D$12:$D$30,'Srv Proj Modes 05,10,15'!Q13)&gt;0,SUMIF('Service Delivery Staff'!$D$12:$D$30,'Srv Proj Modes 05,10,15'!Q13,'Service Delivery Staff'!$P$12:$P$30),"0")</f>
        <v>0</v>
      </c>
      <c r="W13" s="185"/>
      <c r="X13" s="271" t="str">
        <f>'Staffing Planning Worksheet'!H11</f>
        <v>Don't Include</v>
      </c>
      <c r="Y13" s="271" t="str">
        <f>'Staffing Planning Worksheet'!I11</f>
        <v>Don't Include</v>
      </c>
      <c r="Z13" s="271" t="str">
        <f>'Staffing Planning Worksheet'!J11</f>
        <v>Don't Include</v>
      </c>
      <c r="AA13" s="271" t="str">
        <f>'Staffing Planning Worksheet'!K11</f>
        <v>Don't Include</v>
      </c>
      <c r="AB13" s="271" t="str">
        <f>'Staffing Planning Worksheet'!L11</f>
        <v>Include</v>
      </c>
      <c r="AC13" s="271" t="str">
        <f>'Staffing Planning Worksheet'!M11</f>
        <v>Don't Include</v>
      </c>
    </row>
    <row r="14" spans="1:29" ht="19.5" customHeight="1" thickBot="1">
      <c r="J14" s="140"/>
      <c r="K14" s="140"/>
      <c r="L14" s="522"/>
      <c r="M14" s="522"/>
      <c r="N14" s="522"/>
      <c r="Q14" s="1" t="str">
        <f>RATES!A10</f>
        <v>Medical Assistant</v>
      </c>
      <c r="R14" s="219">
        <f>'SMHS Rates for Program'!B9</f>
        <v>187.7</v>
      </c>
      <c r="S14" s="219">
        <f>'SMHS Rates for Program'!C9</f>
        <v>3.128333333333333</v>
      </c>
      <c r="T14" s="219">
        <f>'SMHS Rates for Program'!D9</f>
        <v>3.128333333333333</v>
      </c>
      <c r="V14" s="222" t="str">
        <f>IF(COUNTIF('Service Delivery Staff'!$D$12:$D$30,'Srv Proj Modes 05,10,15'!Q14)&gt;0,SUMIF('Service Delivery Staff'!$D$12:$D$30,'Srv Proj Modes 05,10,15'!Q14,'Service Delivery Staff'!$P$12:$P$30),"0")</f>
        <v>0</v>
      </c>
      <c r="W14" s="185"/>
      <c r="X14" s="271" t="str">
        <f>'Staffing Planning Worksheet'!H12</f>
        <v>Don't Include</v>
      </c>
      <c r="Y14" s="271" t="str">
        <f>'Staffing Planning Worksheet'!I12</f>
        <v>Don't Include</v>
      </c>
      <c r="Z14" s="271" t="str">
        <f>'Staffing Planning Worksheet'!J12</f>
        <v>Don't Include</v>
      </c>
      <c r="AA14" s="271" t="str">
        <f>'Staffing Planning Worksheet'!K12</f>
        <v>Don't Include</v>
      </c>
      <c r="AB14" s="271" t="str">
        <f>'Staffing Planning Worksheet'!L12</f>
        <v>Include</v>
      </c>
      <c r="AC14" s="271" t="str">
        <f>'Staffing Planning Worksheet'!M12</f>
        <v>Don't Include</v>
      </c>
    </row>
    <row r="15" spans="1:29" ht="19.5" customHeight="1" thickBot="1">
      <c r="B15" s="142"/>
      <c r="C15" s="142"/>
      <c r="D15" s="142"/>
      <c r="E15" s="510"/>
      <c r="F15" s="510"/>
      <c r="G15" s="510"/>
      <c r="H15" s="510"/>
      <c r="I15" s="510"/>
      <c r="J15" s="510"/>
      <c r="K15" s="337"/>
      <c r="L15" s="522"/>
      <c r="M15" s="522"/>
      <c r="N15" s="522"/>
      <c r="Q15" s="1" t="str">
        <f>RATES!A11</f>
        <v>Mental Health Rehabilitation Specialist</v>
      </c>
      <c r="R15" s="219">
        <f>'SMHS Rates for Program'!B10</f>
        <v>250.56</v>
      </c>
      <c r="S15" s="219">
        <f>'SMHS Rates for Program'!C10</f>
        <v>4.1760000000000002</v>
      </c>
      <c r="T15" s="219">
        <f>'SMHS Rates for Program'!D10</f>
        <v>4.1760000000000002</v>
      </c>
      <c r="V15" s="222" t="str">
        <f>IF(COUNTIF('Service Delivery Staff'!$D$12:$D$30,'Srv Proj Modes 05,10,15'!Q15)&gt;0,SUMIF('Service Delivery Staff'!$D$12:$D$30,'Srv Proj Modes 05,10,15'!Q15,'Service Delivery Staff'!$P$12:$P$30),"0")</f>
        <v>0</v>
      </c>
      <c r="W15" s="185"/>
      <c r="X15" s="271" t="str">
        <f>'Staffing Planning Worksheet'!H13</f>
        <v>Include</v>
      </c>
      <c r="Y15" s="271" t="str">
        <f>'Staffing Planning Worksheet'!I13</f>
        <v>Include</v>
      </c>
      <c r="Z15" s="271" t="str">
        <f>'Staffing Planning Worksheet'!J13</f>
        <v>Include</v>
      </c>
      <c r="AA15" s="271" t="str">
        <f>'Staffing Planning Worksheet'!K13</f>
        <v>Don't Include</v>
      </c>
      <c r="AB15" s="271" t="str">
        <f>'Staffing Planning Worksheet'!L13</f>
        <v>Don't Include</v>
      </c>
      <c r="AC15" s="271" t="str">
        <f>'Staffing Planning Worksheet'!M13</f>
        <v>Include</v>
      </c>
    </row>
    <row r="16" spans="1:29" ht="19.5" customHeight="1" thickBot="1">
      <c r="B16" s="524" t="s">
        <v>67</v>
      </c>
      <c r="C16" s="527" t="s">
        <v>68</v>
      </c>
      <c r="D16" s="530" t="s">
        <v>69</v>
      </c>
      <c r="E16" s="545" t="s">
        <v>304</v>
      </c>
      <c r="F16" s="509"/>
      <c r="G16" s="509"/>
      <c r="H16" s="509"/>
      <c r="I16" s="509"/>
      <c r="J16" s="509"/>
      <c r="K16" s="334"/>
      <c r="L16" s="533" t="s">
        <v>88</v>
      </c>
      <c r="M16" s="533"/>
      <c r="N16" s="534"/>
      <c r="Q16" s="1" t="str">
        <f>RATES!A12</f>
        <v>MFT/LPCC (Licensed, Waivered or Registered)</v>
      </c>
      <c r="R16" s="219">
        <f>'SMHS Rates for Program'!B11</f>
        <v>333.03000000000003</v>
      </c>
      <c r="S16" s="219">
        <f>'SMHS Rates for Program'!C11</f>
        <v>5.5505000000000004</v>
      </c>
      <c r="T16" s="219">
        <f>'SMHS Rates for Program'!D11</f>
        <v>5.5505000000000004</v>
      </c>
      <c r="V16" s="222" t="str">
        <f>IF(COUNTIF('Service Delivery Staff'!$D$12:$D$30,'Srv Proj Modes 05,10,15'!Q16)&gt;0,SUMIF('Service Delivery Staff'!$D$12:$D$30,'Srv Proj Modes 05,10,15'!Q16,'Service Delivery Staff'!$P$12:$P$30),"0")</f>
        <v>0</v>
      </c>
      <c r="W16" s="185"/>
      <c r="X16" s="271" t="str">
        <f>'Staffing Planning Worksheet'!H14</f>
        <v>Include</v>
      </c>
      <c r="Y16" s="271" t="str">
        <f>'Staffing Planning Worksheet'!I14</f>
        <v>Include</v>
      </c>
      <c r="Z16" s="271" t="str">
        <f>'Staffing Planning Worksheet'!J14</f>
        <v>Include</v>
      </c>
      <c r="AA16" s="271" t="str">
        <f>'Staffing Planning Worksheet'!K14</f>
        <v>Don't Include</v>
      </c>
      <c r="AB16" s="271" t="str">
        <f>'Staffing Planning Worksheet'!L14</f>
        <v>Don't Include</v>
      </c>
      <c r="AC16" s="271" t="str">
        <f>'Staffing Planning Worksheet'!M14</f>
        <v>Include</v>
      </c>
    </row>
    <row r="17" spans="2:29" ht="19.5" customHeight="1">
      <c r="B17" s="525"/>
      <c r="C17" s="528"/>
      <c r="D17" s="531"/>
      <c r="E17" s="535" t="s">
        <v>299</v>
      </c>
      <c r="F17" s="511" t="s">
        <v>300</v>
      </c>
      <c r="G17" s="511" t="s">
        <v>301</v>
      </c>
      <c r="H17" s="511" t="s">
        <v>271</v>
      </c>
      <c r="I17" s="511" t="s">
        <v>302</v>
      </c>
      <c r="J17" s="538" t="s">
        <v>303</v>
      </c>
      <c r="K17" s="324"/>
      <c r="L17" s="546" t="s">
        <v>89</v>
      </c>
      <c r="M17" s="547"/>
      <c r="N17" s="143"/>
      <c r="Q17" s="1" t="str">
        <f>RATES!A13</f>
        <v>Nurse Practitioner</v>
      </c>
      <c r="R17" s="219">
        <f>'SMHS Rates for Program'!B12</f>
        <v>636.34</v>
      </c>
      <c r="S17" s="219">
        <f>'SMHS Rates for Program'!C12</f>
        <v>10.605666666666668</v>
      </c>
      <c r="T17" s="219">
        <f>'SMHS Rates for Program'!D12</f>
        <v>10.605666666666668</v>
      </c>
      <c r="V17" s="222" t="str">
        <f>IF(COUNTIF('Service Delivery Staff'!$D$12:$D$30,'Srv Proj Modes 05,10,15'!Q17)&gt;0,SUMIF('Service Delivery Staff'!$D$12:$D$30,'Srv Proj Modes 05,10,15'!Q17,'Service Delivery Staff'!$P$12:$P$30),"0")</f>
        <v>0</v>
      </c>
      <c r="W17" s="185"/>
      <c r="X17" s="271" t="str">
        <f>'Staffing Planning Worksheet'!H15</f>
        <v>Don't Include</v>
      </c>
      <c r="Y17" s="271" t="str">
        <f>'Staffing Planning Worksheet'!I15</f>
        <v>Don't Include</v>
      </c>
      <c r="Z17" s="271" t="str">
        <f>'Staffing Planning Worksheet'!J15</f>
        <v>Don't Include</v>
      </c>
      <c r="AA17" s="271" t="str">
        <f>'Staffing Planning Worksheet'!K15</f>
        <v>Don't Include</v>
      </c>
      <c r="AB17" s="271" t="str">
        <f>'Staffing Planning Worksheet'!L15</f>
        <v>Include</v>
      </c>
      <c r="AC17" s="271" t="str">
        <f>'Staffing Planning Worksheet'!M15</f>
        <v>Don't Include</v>
      </c>
    </row>
    <row r="18" spans="2:29" ht="19.5" customHeight="1">
      <c r="B18" s="525"/>
      <c r="C18" s="528"/>
      <c r="D18" s="531"/>
      <c r="E18" s="536"/>
      <c r="F18" s="512"/>
      <c r="G18" s="512"/>
      <c r="H18" s="512"/>
      <c r="I18" s="512"/>
      <c r="J18" s="539"/>
      <c r="K18" s="324"/>
      <c r="L18" s="548" t="s">
        <v>90</v>
      </c>
      <c r="M18" s="541" t="s">
        <v>91</v>
      </c>
      <c r="N18" s="543" t="s">
        <v>92</v>
      </c>
      <c r="Q18" s="1" t="str">
        <f>RATES!A14</f>
        <v>Occupational Therapist</v>
      </c>
      <c r="R18" s="219">
        <f>'SMHS Rates for Program'!B13</f>
        <v>443.32000000000005</v>
      </c>
      <c r="S18" s="219">
        <f>'SMHS Rates for Program'!C13</f>
        <v>7.3886666666666674</v>
      </c>
      <c r="T18" s="219">
        <f>'SMHS Rates for Program'!D13</f>
        <v>7.3886666666666674</v>
      </c>
      <c r="V18" s="222" t="str">
        <f>IF(COUNTIF('Service Delivery Staff'!$D$12:$D$30,'Srv Proj Modes 05,10,15'!Q18)&gt;0,SUMIF('Service Delivery Staff'!$D$12:$D$30,'Srv Proj Modes 05,10,15'!Q18,'Service Delivery Staff'!$P$12:$P$30),"0")</f>
        <v>0</v>
      </c>
      <c r="W18" s="185"/>
      <c r="X18" s="271" t="str">
        <f>'Staffing Planning Worksheet'!H16</f>
        <v>Don't Include</v>
      </c>
      <c r="Y18" s="271" t="str">
        <f>'Staffing Planning Worksheet'!I16</f>
        <v>Include</v>
      </c>
      <c r="Z18" s="271" t="str">
        <f>'Staffing Planning Worksheet'!J16</f>
        <v>Don't Include</v>
      </c>
      <c r="AA18" s="271" t="str">
        <f>'Staffing Planning Worksheet'!K16</f>
        <v>Don't Include</v>
      </c>
      <c r="AB18" s="271" t="str">
        <f>'Staffing Planning Worksheet'!L16</f>
        <v>Don't Include</v>
      </c>
      <c r="AC18" s="271" t="str">
        <f>'Staffing Planning Worksheet'!M16</f>
        <v>Don't Include</v>
      </c>
    </row>
    <row r="19" spans="2:29" ht="55" customHeight="1" thickBot="1">
      <c r="B19" s="526"/>
      <c r="C19" s="529"/>
      <c r="D19" s="532"/>
      <c r="E19" s="537"/>
      <c r="F19" s="513"/>
      <c r="G19" s="513"/>
      <c r="H19" s="513"/>
      <c r="I19" s="513"/>
      <c r="J19" s="540"/>
      <c r="K19" s="324"/>
      <c r="L19" s="549"/>
      <c r="M19" s="542"/>
      <c r="N19" s="544"/>
      <c r="Q19" s="1" t="str">
        <f>RATES!A15</f>
        <v>Other Qualified Practitioner</v>
      </c>
      <c r="R19" s="219">
        <f>'SMHS Rates for Program'!B14</f>
        <v>250.56</v>
      </c>
      <c r="S19" s="219">
        <f>'SMHS Rates for Program'!C14</f>
        <v>4.1760000000000002</v>
      </c>
      <c r="T19" s="219">
        <f>'SMHS Rates for Program'!D14</f>
        <v>4.1760000000000002</v>
      </c>
      <c r="V19" s="222" t="str">
        <f>IF(COUNTIF('Service Delivery Staff'!$D$12:$D$30,'Srv Proj Modes 05,10,15'!Q19)&gt;0,SUMIF('Service Delivery Staff'!$D$12:$D$30,'Srv Proj Modes 05,10,15'!Q19,'Service Delivery Staff'!$P$12:$P$30),"0")</f>
        <v>0</v>
      </c>
      <c r="W19" s="185"/>
      <c r="X19" s="271" t="str">
        <f>'Staffing Planning Worksheet'!H17</f>
        <v>Include</v>
      </c>
      <c r="Y19" s="271" t="str">
        <f>'Staffing Planning Worksheet'!I17</f>
        <v>Include</v>
      </c>
      <c r="Z19" s="271" t="str">
        <f>'Staffing Planning Worksheet'!J17</f>
        <v>Include</v>
      </c>
      <c r="AA19" s="271" t="str">
        <f>'Staffing Planning Worksheet'!K17</f>
        <v>Don't Include</v>
      </c>
      <c r="AB19" s="271" t="str">
        <f>'Staffing Planning Worksheet'!L17</f>
        <v>Don't Include</v>
      </c>
      <c r="AC19" s="271" t="str">
        <f>'Staffing Planning Worksheet'!M17</f>
        <v>Include</v>
      </c>
    </row>
    <row r="20" spans="2:29" ht="20.149999999999999" customHeight="1">
      <c r="B20" s="144">
        <f>'Schedule A'!G5</f>
        <v>46569</v>
      </c>
      <c r="C20" s="390">
        <f>IFERROR((C$32/12),0)</f>
        <v>0</v>
      </c>
      <c r="D20" s="391">
        <f>'Service Delivery Staff'!$P$31</f>
        <v>0</v>
      </c>
      <c r="E20" s="392" t="str">
        <f t="shared" ref="E20:J31" si="1">IF(ISERROR(ROUND($C20/$C$32*E$32,0)),"",ROUND($C20/$C$32*E$32,0))</f>
        <v/>
      </c>
      <c r="F20" s="392" t="str">
        <f t="shared" si="1"/>
        <v/>
      </c>
      <c r="G20" s="392" t="str">
        <f t="shared" si="1"/>
        <v/>
      </c>
      <c r="H20" s="392" t="str">
        <f t="shared" si="1"/>
        <v/>
      </c>
      <c r="I20" s="392" t="str">
        <f t="shared" si="1"/>
        <v/>
      </c>
      <c r="J20" s="393" t="str">
        <f t="shared" si="1"/>
        <v/>
      </c>
      <c r="K20" s="326"/>
      <c r="L20" s="332"/>
      <c r="M20" s="147"/>
      <c r="N20" s="148">
        <f>N17+L20-M20</f>
        <v>0</v>
      </c>
      <c r="Q20" s="1" t="str">
        <f>RATES!A16</f>
        <v>Peer Support Specialists</v>
      </c>
      <c r="R20" s="219">
        <f>'SMHS Rates for Program'!B15</f>
        <v>263.08999999999997</v>
      </c>
      <c r="S20" s="219">
        <f>'SMHS Rates for Program'!C15</f>
        <v>4.3848333333333329</v>
      </c>
      <c r="T20" s="219">
        <f>'SMHS Rates for Program'!D15</f>
        <v>4.3848333333333329</v>
      </c>
      <c r="V20" s="222" t="str">
        <f>IF(COUNTIF('Service Delivery Staff'!$D$12:$D$30,'Srv Proj Modes 05,10,15'!Q20)&gt;0,SUMIF('Service Delivery Staff'!$D$12:$D$30,'Srv Proj Modes 05,10,15'!Q20,'Service Delivery Staff'!$P$12:$P$30),"0")</f>
        <v>0</v>
      </c>
      <c r="W20" s="185"/>
      <c r="X20" s="271" t="str">
        <f>'Staffing Planning Worksheet'!H18</f>
        <v>Don't Include</v>
      </c>
      <c r="Y20" s="271" t="str">
        <f>'Staffing Planning Worksheet'!I18</f>
        <v>Include</v>
      </c>
      <c r="Z20" s="271" t="str">
        <f>'Staffing Planning Worksheet'!J18</f>
        <v>Don't Include</v>
      </c>
      <c r="AA20" s="271" t="str">
        <f>'Staffing Planning Worksheet'!K18</f>
        <v>Don't Include</v>
      </c>
      <c r="AB20" s="271" t="str">
        <f>'Staffing Planning Worksheet'!L18</f>
        <v>Don't Include</v>
      </c>
      <c r="AC20" s="271" t="str">
        <f>'Staffing Planning Worksheet'!M18</f>
        <v>Don't Include</v>
      </c>
    </row>
    <row r="21" spans="2:29" ht="20.149999999999999" customHeight="1">
      <c r="B21" s="144">
        <f t="shared" ref="B21:B30" si="2">B20+31</f>
        <v>46600</v>
      </c>
      <c r="C21" s="390">
        <f t="shared" ref="C21:C29" si="3">IFERROR((C$32/12),0)</f>
        <v>0</v>
      </c>
      <c r="D21" s="391">
        <f>'Service Delivery Staff'!$P$31</f>
        <v>0</v>
      </c>
      <c r="E21" s="394" t="str">
        <f t="shared" si="1"/>
        <v/>
      </c>
      <c r="F21" s="394" t="str">
        <f t="shared" si="1"/>
        <v/>
      </c>
      <c r="G21" s="394" t="str">
        <f t="shared" si="1"/>
        <v/>
      </c>
      <c r="H21" s="394" t="str">
        <f t="shared" si="1"/>
        <v/>
      </c>
      <c r="I21" s="394" t="str">
        <f t="shared" si="1"/>
        <v/>
      </c>
      <c r="J21" s="395" t="str">
        <f t="shared" si="1"/>
        <v/>
      </c>
      <c r="K21" s="327"/>
      <c r="L21" s="332"/>
      <c r="M21" s="147"/>
      <c r="N21" s="148">
        <f>N20+L21-M21</f>
        <v>0</v>
      </c>
      <c r="Q21" s="1" t="str">
        <f>RATES!A17</f>
        <v>Physician Assistant</v>
      </c>
      <c r="R21" s="219">
        <f>'SMHS Rates for Program'!B16</f>
        <v>573.91999999999996</v>
      </c>
      <c r="S21" s="219">
        <f>'SMHS Rates for Program'!C16</f>
        <v>9.5653333333333332</v>
      </c>
      <c r="T21" s="219">
        <f>'SMHS Rates for Program'!D16</f>
        <v>9.5653333333333332</v>
      </c>
      <c r="V21" s="222" t="str">
        <f>IF(COUNTIF('Service Delivery Staff'!$D$12:$D$30,'Srv Proj Modes 05,10,15'!Q21)&gt;0,SUMIF('Service Delivery Staff'!$D$12:$D$30,'Srv Proj Modes 05,10,15'!Q21,'Service Delivery Staff'!$P$12:$P$30),"0")</f>
        <v>0</v>
      </c>
      <c r="W21" s="185"/>
      <c r="X21" s="271" t="str">
        <f>'Staffing Planning Worksheet'!H19</f>
        <v>Don't Include</v>
      </c>
      <c r="Y21" s="271" t="str">
        <f>'Staffing Planning Worksheet'!I19</f>
        <v>Don't Include</v>
      </c>
      <c r="Z21" s="271" t="str">
        <f>'Staffing Planning Worksheet'!J19</f>
        <v>Don't Include</v>
      </c>
      <c r="AA21" s="271" t="str">
        <f>'Staffing Planning Worksheet'!K19</f>
        <v>Don't Include</v>
      </c>
      <c r="AB21" s="271" t="str">
        <f>'Staffing Planning Worksheet'!L19</f>
        <v>Include</v>
      </c>
      <c r="AC21" s="271" t="str">
        <f>'Staffing Planning Worksheet'!M19</f>
        <v>Don't Include</v>
      </c>
    </row>
    <row r="22" spans="2:29" ht="20.149999999999999" customHeight="1">
      <c r="B22" s="144">
        <f t="shared" si="2"/>
        <v>46631</v>
      </c>
      <c r="C22" s="390">
        <f t="shared" si="3"/>
        <v>0</v>
      </c>
      <c r="D22" s="391">
        <f>'Service Delivery Staff'!$P$31</f>
        <v>0</v>
      </c>
      <c r="E22" s="394" t="str">
        <f t="shared" si="1"/>
        <v/>
      </c>
      <c r="F22" s="394" t="str">
        <f t="shared" si="1"/>
        <v/>
      </c>
      <c r="G22" s="394" t="str">
        <f t="shared" si="1"/>
        <v/>
      </c>
      <c r="H22" s="394" t="str">
        <f t="shared" si="1"/>
        <v/>
      </c>
      <c r="I22" s="394" t="str">
        <f t="shared" si="1"/>
        <v/>
      </c>
      <c r="J22" s="395" t="str">
        <f t="shared" si="1"/>
        <v/>
      </c>
      <c r="K22" s="327"/>
      <c r="L22" s="332"/>
      <c r="M22" s="147"/>
      <c r="N22" s="148">
        <f t="shared" ref="N22:N31" si="4">N21+L22-M22</f>
        <v>0</v>
      </c>
      <c r="Q22" s="1" t="str">
        <f>RATES!A18</f>
        <v>Psychologist (Licensed or Waivered)</v>
      </c>
      <c r="R22" s="219">
        <f>'SMHS Rates for Program'!B17</f>
        <v>514.63</v>
      </c>
      <c r="S22" s="219">
        <f>'SMHS Rates for Program'!C17</f>
        <v>8.5771666666666668</v>
      </c>
      <c r="T22" s="219">
        <f>'SMHS Rates for Program'!D17</f>
        <v>8.5771666666666668</v>
      </c>
      <c r="V22" s="222" t="str">
        <f>IF(COUNTIF('Service Delivery Staff'!$D$12:$D$30,'Srv Proj Modes 05,10,15'!Q22)&gt;0,SUMIF('Service Delivery Staff'!$D$12:$D$30,'Srv Proj Modes 05,10,15'!Q22,'Service Delivery Staff'!$P$12:$P$30),"0")</f>
        <v>0</v>
      </c>
      <c r="W22" s="185"/>
      <c r="X22" s="271" t="str">
        <f>'Staffing Planning Worksheet'!H20</f>
        <v>Don't Include</v>
      </c>
      <c r="Y22" s="271" t="str">
        <f>'Staffing Planning Worksheet'!I20</f>
        <v>Include</v>
      </c>
      <c r="Z22" s="271" t="str">
        <f>'Staffing Planning Worksheet'!J20</f>
        <v>Don't Include</v>
      </c>
      <c r="AA22" s="271" t="str">
        <f>'Staffing Planning Worksheet'!K20</f>
        <v>Don't Include</v>
      </c>
      <c r="AB22" s="271" t="str">
        <f>'Staffing Planning Worksheet'!L20</f>
        <v>Don't Include</v>
      </c>
      <c r="AC22" s="271" t="str">
        <f>'Staffing Planning Worksheet'!M20</f>
        <v>Don't Include</v>
      </c>
    </row>
    <row r="23" spans="2:29" ht="20.149999999999999" customHeight="1">
      <c r="B23" s="144">
        <f t="shared" si="2"/>
        <v>46662</v>
      </c>
      <c r="C23" s="390">
        <f t="shared" si="3"/>
        <v>0</v>
      </c>
      <c r="D23" s="391">
        <f>'Service Delivery Staff'!$P$31</f>
        <v>0</v>
      </c>
      <c r="E23" s="394" t="str">
        <f t="shared" si="1"/>
        <v/>
      </c>
      <c r="F23" s="394" t="str">
        <f t="shared" si="1"/>
        <v/>
      </c>
      <c r="G23" s="394" t="str">
        <f t="shared" si="1"/>
        <v/>
      </c>
      <c r="H23" s="394" t="str">
        <f t="shared" si="1"/>
        <v/>
      </c>
      <c r="I23" s="394" t="str">
        <f t="shared" si="1"/>
        <v/>
      </c>
      <c r="J23" s="395" t="str">
        <f t="shared" si="1"/>
        <v/>
      </c>
      <c r="K23" s="327"/>
      <c r="L23" s="332"/>
      <c r="M23" s="147"/>
      <c r="N23" s="148">
        <f t="shared" si="4"/>
        <v>0</v>
      </c>
      <c r="Q23" s="1" t="str">
        <f>RATES!A19</f>
        <v>Registered Nurse</v>
      </c>
      <c r="R23" s="219">
        <f>'SMHS Rates for Program'!B18</f>
        <v>519.77</v>
      </c>
      <c r="S23" s="219">
        <f>'SMHS Rates for Program'!C18</f>
        <v>8.6628333333333334</v>
      </c>
      <c r="T23" s="219">
        <f>'SMHS Rates for Program'!D18</f>
        <v>8.6628333333333334</v>
      </c>
      <c r="V23" s="222" t="str">
        <f>IF(COUNTIF('Service Delivery Staff'!$D$12:$D$30,'Srv Proj Modes 05,10,15'!Q23)&gt;0,SUMIF('Service Delivery Staff'!$D$12:$D$30,'Srv Proj Modes 05,10,15'!Q23,'Service Delivery Staff'!$P$12:$P$30),"0")</f>
        <v>0</v>
      </c>
      <c r="W23" s="185"/>
      <c r="X23" s="271" t="str">
        <f>'Staffing Planning Worksheet'!H21</f>
        <v>Don't Include</v>
      </c>
      <c r="Y23" s="271" t="str">
        <f>'Staffing Planning Worksheet'!I21</f>
        <v>Don't Include</v>
      </c>
      <c r="Z23" s="271" t="str">
        <f>'Staffing Planning Worksheet'!J21</f>
        <v>Don't Include</v>
      </c>
      <c r="AA23" s="271" t="str">
        <f>'Staffing Planning Worksheet'!K21</f>
        <v>Don't Include</v>
      </c>
      <c r="AB23" s="271" t="str">
        <f>'Staffing Planning Worksheet'!L21</f>
        <v>Include</v>
      </c>
      <c r="AC23" s="271" t="str">
        <f>'Staffing Planning Worksheet'!M21</f>
        <v>Don't Include</v>
      </c>
    </row>
    <row r="24" spans="2:29" ht="20.149999999999999" customHeight="1">
      <c r="B24" s="144">
        <f t="shared" si="2"/>
        <v>46693</v>
      </c>
      <c r="C24" s="390">
        <f t="shared" si="3"/>
        <v>0</v>
      </c>
      <c r="D24" s="391">
        <f>'Service Delivery Staff'!$P$31</f>
        <v>0</v>
      </c>
      <c r="E24" s="394" t="str">
        <f t="shared" si="1"/>
        <v/>
      </c>
      <c r="F24" s="394" t="str">
        <f t="shared" si="1"/>
        <v/>
      </c>
      <c r="G24" s="394" t="str">
        <f t="shared" si="1"/>
        <v/>
      </c>
      <c r="H24" s="394" t="str">
        <f t="shared" si="1"/>
        <v/>
      </c>
      <c r="I24" s="394" t="str">
        <f t="shared" si="1"/>
        <v/>
      </c>
      <c r="J24" s="395" t="str">
        <f t="shared" si="1"/>
        <v/>
      </c>
      <c r="K24" s="327"/>
      <c r="L24" s="332"/>
      <c r="M24" s="147"/>
      <c r="N24" s="148">
        <f t="shared" si="4"/>
        <v>0</v>
      </c>
      <c r="Q24" s="1"/>
    </row>
    <row r="25" spans="2:29" ht="20.149999999999999" customHeight="1">
      <c r="B25" s="144">
        <f t="shared" si="2"/>
        <v>46724</v>
      </c>
      <c r="C25" s="390">
        <f t="shared" si="3"/>
        <v>0</v>
      </c>
      <c r="D25" s="391">
        <f>'Service Delivery Staff'!$P$31</f>
        <v>0</v>
      </c>
      <c r="E25" s="394" t="str">
        <f t="shared" si="1"/>
        <v/>
      </c>
      <c r="F25" s="394" t="str">
        <f t="shared" si="1"/>
        <v/>
      </c>
      <c r="G25" s="394" t="str">
        <f t="shared" si="1"/>
        <v/>
      </c>
      <c r="H25" s="394" t="str">
        <f t="shared" si="1"/>
        <v/>
      </c>
      <c r="I25" s="394" t="str">
        <f t="shared" si="1"/>
        <v/>
      </c>
      <c r="J25" s="395" t="str">
        <f t="shared" si="1"/>
        <v/>
      </c>
      <c r="K25" s="327"/>
      <c r="L25" s="332"/>
      <c r="M25" s="147"/>
      <c r="N25" s="148">
        <f t="shared" si="4"/>
        <v>0</v>
      </c>
      <c r="Q25" s="1"/>
    </row>
    <row r="26" spans="2:29" s="65" customFormat="1" ht="20.149999999999999" customHeight="1">
      <c r="B26" s="144">
        <f t="shared" si="2"/>
        <v>46755</v>
      </c>
      <c r="C26" s="390">
        <f t="shared" si="3"/>
        <v>0</v>
      </c>
      <c r="D26" s="391">
        <f>'Service Delivery Staff'!$P$31</f>
        <v>0</v>
      </c>
      <c r="E26" s="394" t="str">
        <f t="shared" si="1"/>
        <v/>
      </c>
      <c r="F26" s="394" t="str">
        <f t="shared" si="1"/>
        <v/>
      </c>
      <c r="G26" s="394" t="str">
        <f t="shared" si="1"/>
        <v/>
      </c>
      <c r="H26" s="394" t="str">
        <f t="shared" si="1"/>
        <v/>
      </c>
      <c r="I26" s="394" t="str">
        <f t="shared" si="1"/>
        <v/>
      </c>
      <c r="J26" s="395" t="str">
        <f t="shared" si="1"/>
        <v/>
      </c>
      <c r="K26" s="327"/>
      <c r="L26" s="332"/>
      <c r="M26" s="147"/>
      <c r="N26" s="148">
        <f t="shared" si="4"/>
        <v>0</v>
      </c>
      <c r="Q26" s="1"/>
      <c r="S26" s="141"/>
      <c r="T26" s="221"/>
      <c r="W26" s="141" t="s">
        <v>178</v>
      </c>
      <c r="X26" s="224" cm="1">
        <f t="array" ref="X26">IFERROR(SUMPRODUCT((X8:X23="Include")*($V8:$V23)*($T8:$T23))/SUMIFS($V8:$V23,X8:X23,"Include"),0)</f>
        <v>0</v>
      </c>
      <c r="Y26" s="224" cm="1">
        <f t="array" ref="Y26">IFERROR(SUMPRODUCT((Y8:Y23="Include")*($V8:$V23)*($T8:$T23))/SUMIFS($V8:$V23,Y8:Y23,"Include"),0)</f>
        <v>0</v>
      </c>
      <c r="Z26" s="224" cm="1">
        <f t="array" ref="Z26">IFERROR(SUMPRODUCT((Z8:Z23="Include")*($V8:$V23)*($T8:$T23))/SUMIFS($V8:$V23,Z8:Z23,"Include"),0)</f>
        <v>0</v>
      </c>
      <c r="AA26" s="224" cm="1">
        <f t="array" ref="AA26">IFERROR(SUMPRODUCT((AA8:AA23="Include")*($V8:$V23)*($T8:$T23))/SUMIFS($V8:$V23,AA8:AA23,"Include"),0)</f>
        <v>0</v>
      </c>
      <c r="AB26" s="224" cm="1">
        <f t="array" ref="AB26">IFERROR(SUMPRODUCT((AB8:AB23="Include")*($V8:$V23)*($T8:$T23))/SUMIFS($V8:$V23,AB8:AB23,"Include"),0)</f>
        <v>0</v>
      </c>
      <c r="AC26" s="224" cm="1">
        <f t="array" ref="AC26">IFERROR(SUMPRODUCT((AC8:AC23="Include")*($V8:$V23)*($T8:$T23))/SUMIFS($V8:$V23,AC8:AC23,"Include"),0)</f>
        <v>0</v>
      </c>
    </row>
    <row r="27" spans="2:29" s="65" customFormat="1" ht="20.149999999999999" customHeight="1">
      <c r="B27" s="144">
        <f t="shared" si="2"/>
        <v>46786</v>
      </c>
      <c r="C27" s="390">
        <f t="shared" si="3"/>
        <v>0</v>
      </c>
      <c r="D27" s="146">
        <f>'Service Delivery Staff'!$P$31</f>
        <v>0</v>
      </c>
      <c r="E27" s="300" t="str">
        <f t="shared" si="1"/>
        <v/>
      </c>
      <c r="F27" s="300" t="str">
        <f t="shared" si="1"/>
        <v/>
      </c>
      <c r="G27" s="300" t="str">
        <f t="shared" si="1"/>
        <v/>
      </c>
      <c r="H27" s="300" t="str">
        <f t="shared" si="1"/>
        <v/>
      </c>
      <c r="I27" s="300" t="str">
        <f t="shared" si="1"/>
        <v/>
      </c>
      <c r="J27" s="330" t="str">
        <f t="shared" si="1"/>
        <v/>
      </c>
      <c r="K27" s="327"/>
      <c r="L27" s="332"/>
      <c r="M27" s="147"/>
      <c r="N27" s="148">
        <f t="shared" si="4"/>
        <v>0</v>
      </c>
    </row>
    <row r="28" spans="2:29" s="65" customFormat="1" ht="20.149999999999999" customHeight="1">
      <c r="B28" s="144">
        <f t="shared" si="2"/>
        <v>46817</v>
      </c>
      <c r="C28" s="390">
        <f t="shared" si="3"/>
        <v>0</v>
      </c>
      <c r="D28" s="146">
        <f>'Service Delivery Staff'!$P$31</f>
        <v>0</v>
      </c>
      <c r="E28" s="300" t="str">
        <f t="shared" si="1"/>
        <v/>
      </c>
      <c r="F28" s="300" t="str">
        <f t="shared" si="1"/>
        <v/>
      </c>
      <c r="G28" s="300" t="str">
        <f t="shared" si="1"/>
        <v/>
      </c>
      <c r="H28" s="300" t="str">
        <f t="shared" si="1"/>
        <v/>
      </c>
      <c r="I28" s="300" t="str">
        <f t="shared" si="1"/>
        <v/>
      </c>
      <c r="J28" s="330" t="str">
        <f t="shared" si="1"/>
        <v/>
      </c>
      <c r="K28" s="327"/>
      <c r="L28" s="332"/>
      <c r="M28" s="147"/>
      <c r="N28" s="148">
        <f t="shared" si="4"/>
        <v>0</v>
      </c>
      <c r="Q28" s="3"/>
    </row>
    <row r="29" spans="2:29" ht="20.149999999999999" customHeight="1">
      <c r="B29" s="144">
        <f t="shared" si="2"/>
        <v>46848</v>
      </c>
      <c r="C29" s="390">
        <f t="shared" si="3"/>
        <v>0</v>
      </c>
      <c r="D29" s="146">
        <f>'Service Delivery Staff'!$P$31</f>
        <v>0</v>
      </c>
      <c r="E29" s="300" t="str">
        <f t="shared" si="1"/>
        <v/>
      </c>
      <c r="F29" s="300" t="str">
        <f t="shared" si="1"/>
        <v/>
      </c>
      <c r="G29" s="300" t="str">
        <f t="shared" si="1"/>
        <v/>
      </c>
      <c r="H29" s="300" t="str">
        <f t="shared" si="1"/>
        <v/>
      </c>
      <c r="I29" s="300" t="str">
        <f t="shared" si="1"/>
        <v/>
      </c>
      <c r="J29" s="330" t="str">
        <f t="shared" si="1"/>
        <v/>
      </c>
      <c r="K29" s="327"/>
      <c r="L29" s="332"/>
      <c r="M29" s="147"/>
      <c r="N29" s="148">
        <f t="shared" si="4"/>
        <v>0</v>
      </c>
    </row>
    <row r="30" spans="2:29" ht="20.149999999999999" customHeight="1">
      <c r="B30" s="144">
        <f t="shared" si="2"/>
        <v>46879</v>
      </c>
      <c r="C30" s="145">
        <f>IFERROR((C$32/12),0)</f>
        <v>0</v>
      </c>
      <c r="D30" s="146">
        <f>'Service Delivery Staff'!$P$31</f>
        <v>0</v>
      </c>
      <c r="E30" s="300" t="str">
        <f t="shared" si="1"/>
        <v/>
      </c>
      <c r="F30" s="300" t="str">
        <f t="shared" si="1"/>
        <v/>
      </c>
      <c r="G30" s="300" t="str">
        <f t="shared" si="1"/>
        <v/>
      </c>
      <c r="H30" s="300" t="str">
        <f t="shared" si="1"/>
        <v/>
      </c>
      <c r="I30" s="300" t="str">
        <f t="shared" si="1"/>
        <v/>
      </c>
      <c r="J30" s="330" t="str">
        <f t="shared" si="1"/>
        <v/>
      </c>
      <c r="K30" s="327"/>
      <c r="L30" s="332"/>
      <c r="M30" s="147"/>
      <c r="N30" s="148">
        <f t="shared" si="4"/>
        <v>0</v>
      </c>
    </row>
    <row r="31" spans="2:29" ht="20.149999999999999" customHeight="1" thickBot="1">
      <c r="B31" s="149">
        <f>B30+31</f>
        <v>46910</v>
      </c>
      <c r="C31" s="168">
        <f>IFERROR((C$32/12),0)</f>
        <v>0</v>
      </c>
      <c r="D31" s="146">
        <f>'Service Delivery Staff'!$P$31</f>
        <v>0</v>
      </c>
      <c r="E31" s="301" t="str">
        <f t="shared" si="1"/>
        <v/>
      </c>
      <c r="F31" s="301" t="str">
        <f t="shared" si="1"/>
        <v/>
      </c>
      <c r="G31" s="301" t="str">
        <f t="shared" si="1"/>
        <v/>
      </c>
      <c r="H31" s="301" t="str">
        <f t="shared" si="1"/>
        <v/>
      </c>
      <c r="I31" s="301" t="str">
        <f t="shared" si="1"/>
        <v/>
      </c>
      <c r="J31" s="331" t="str">
        <f t="shared" si="1"/>
        <v/>
      </c>
      <c r="K31" s="328"/>
      <c r="L31" s="332"/>
      <c r="M31" s="147"/>
      <c r="N31" s="150">
        <f t="shared" si="4"/>
        <v>0</v>
      </c>
    </row>
    <row r="32" spans="2:29" ht="16" thickTop="1">
      <c r="B32" s="151" t="s">
        <v>13</v>
      </c>
      <c r="C32" s="152">
        <f>IFERROR(('Schedule A'!L36),0)</f>
        <v>0</v>
      </c>
      <c r="D32" s="153"/>
      <c r="E32" s="296">
        <f>IFERROR('Schedule A'!F34,0)</f>
        <v>0</v>
      </c>
      <c r="F32" s="296">
        <f>IFERROR('Schedule A'!G34,0)</f>
        <v>0</v>
      </c>
      <c r="G32" s="296">
        <f>IFERROR('Schedule A'!H34,0)</f>
        <v>0</v>
      </c>
      <c r="H32" s="296">
        <f>IFERROR('Schedule A'!I34,0)</f>
        <v>0</v>
      </c>
      <c r="I32" s="296">
        <f>IFERROR('Schedule A'!J34,0)</f>
        <v>0</v>
      </c>
      <c r="J32" s="325">
        <f>IFERROR('Schedule A'!K34,0)</f>
        <v>0</v>
      </c>
      <c r="K32" s="335"/>
      <c r="L32" s="333">
        <f>SUM(L20:L31)</f>
        <v>0</v>
      </c>
      <c r="M32" s="154">
        <f>SUM(M20:M31)</f>
        <v>0</v>
      </c>
      <c r="N32" s="520">
        <f>N17+L32</f>
        <v>0</v>
      </c>
    </row>
    <row r="33" spans="2:14" ht="20" customHeight="1">
      <c r="B33" s="155"/>
      <c r="C33" s="156"/>
      <c r="D33" s="176"/>
      <c r="E33" s="555" t="s">
        <v>93</v>
      </c>
      <c r="F33" s="556"/>
      <c r="G33" s="556"/>
      <c r="H33" s="157">
        <f>SUM(E32:J32)</f>
        <v>0</v>
      </c>
      <c r="I33" s="295"/>
      <c r="J33" s="560">
        <f>SUM(E32:J32)</f>
        <v>0</v>
      </c>
      <c r="K33" s="557" t="s">
        <v>94</v>
      </c>
      <c r="L33" s="558"/>
      <c r="M33" s="559"/>
      <c r="N33" s="521"/>
    </row>
    <row r="34" spans="2:14" ht="20">
      <c r="B34"/>
      <c r="C34" s="156"/>
      <c r="D34" s="177"/>
      <c r="E34" s="158"/>
      <c r="F34" s="158"/>
      <c r="G34" s="158"/>
      <c r="H34" s="158"/>
      <c r="I34" s="158"/>
      <c r="J34" s="517" t="s">
        <v>99</v>
      </c>
      <c r="K34" s="518"/>
      <c r="L34" s="519"/>
      <c r="M34" s="159">
        <f>IF(N32=0,0,H33/N32)</f>
        <v>0</v>
      </c>
      <c r="N34" s="160"/>
    </row>
    <row r="35" spans="2:14" ht="20">
      <c r="C35" s="161"/>
      <c r="D35" s="177"/>
      <c r="E35" s="162"/>
      <c r="F35" s="162"/>
      <c r="G35" s="162"/>
      <c r="H35" s="162"/>
      <c r="I35" s="162"/>
      <c r="J35" s="163"/>
      <c r="K35" s="163"/>
      <c r="L35" s="163"/>
      <c r="M35" s="164"/>
      <c r="N35" s="164"/>
    </row>
    <row r="36" spans="2:14" ht="13">
      <c r="C36" s="165"/>
      <c r="D36" s="165"/>
      <c r="E36" s="166"/>
      <c r="F36" s="166"/>
      <c r="G36" s="166"/>
      <c r="H36" s="166"/>
      <c r="I36" s="166"/>
    </row>
  </sheetData>
  <sheetProtection algorithmName="SHA-512" hashValue="5a9jUgJ0NcCqvUSW+ImQKRmW9Q0vV5+wufdrP+Lm8dcKnzBwMInuK3fOYvGqgjCkC7H5FvA79lzy1TzJhUgQ0A==" saltValue="ohlbkY234YQ+GaaoCcJe7w==" spinCount="100000" sheet="1" selectLockedCells="1"/>
  <mergeCells count="34">
    <mergeCell ref="B16:B19"/>
    <mergeCell ref="C16:C19"/>
    <mergeCell ref="D16:D19"/>
    <mergeCell ref="L16:N16"/>
    <mergeCell ref="E17:E19"/>
    <mergeCell ref="G17:G19"/>
    <mergeCell ref="H17:H19"/>
    <mergeCell ref="J17:J19"/>
    <mergeCell ref="M18:M19"/>
    <mergeCell ref="N18:N19"/>
    <mergeCell ref="E16:J16"/>
    <mergeCell ref="L17:M17"/>
    <mergeCell ref="L18:L19"/>
    <mergeCell ref="F17:F19"/>
    <mergeCell ref="J34:L34"/>
    <mergeCell ref="N32:N33"/>
    <mergeCell ref="L11:N11"/>
    <mergeCell ref="L12:N12"/>
    <mergeCell ref="L15:N15"/>
    <mergeCell ref="L14:N14"/>
    <mergeCell ref="L13:N13"/>
    <mergeCell ref="K33:M33"/>
    <mergeCell ref="B1:O1"/>
    <mergeCell ref="B2:O2"/>
    <mergeCell ref="B3:O3"/>
    <mergeCell ref="B4:O4"/>
    <mergeCell ref="B5:O5"/>
    <mergeCell ref="X5:AC5"/>
    <mergeCell ref="E15:J15"/>
    <mergeCell ref="I17:I19"/>
    <mergeCell ref="L10:N10"/>
    <mergeCell ref="L9:N9"/>
    <mergeCell ref="L8:N8"/>
    <mergeCell ref="E8:J8"/>
  </mergeCells>
  <pageMargins left="0.7" right="0.7" top="0.75" bottom="0.75" header="0.3" footer="0.3"/>
  <pageSetup orientation="portrait" r:id="rId1"/>
  <customProperties>
    <customPr name="EpmWorksheetKeyString_GUID" r:id="rId2"/>
  </customProperties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DF5C9-599D-48E7-BF07-67745FBE2F95}">
  <dimension ref="A1:K9"/>
  <sheetViews>
    <sheetView workbookViewId="0">
      <selection activeCell="I29" sqref="I29"/>
    </sheetView>
  </sheetViews>
  <sheetFormatPr defaultRowHeight="12.5"/>
  <cols>
    <col min="1" max="1" width="44.453125" customWidth="1"/>
    <col min="2" max="4" width="11.7265625" customWidth="1"/>
    <col min="5" max="5" width="11.7265625" hidden="1" customWidth="1"/>
    <col min="6" max="6" width="13" customWidth="1"/>
    <col min="7" max="10" width="11.7265625" customWidth="1"/>
    <col min="11" max="11" width="12.7265625" customWidth="1"/>
  </cols>
  <sheetData>
    <row r="1" spans="1:11" ht="13" thickBot="1"/>
    <row r="2" spans="1:11" ht="31.5" customHeight="1" thickBot="1">
      <c r="A2" s="308"/>
      <c r="B2" s="550" t="s">
        <v>304</v>
      </c>
      <c r="C2" s="551"/>
      <c r="D2" s="551"/>
      <c r="E2" s="551"/>
      <c r="F2" s="551"/>
      <c r="G2" s="552"/>
      <c r="H2" s="309"/>
      <c r="I2" s="169"/>
    </row>
    <row r="3" spans="1:11" ht="48.65" customHeight="1" thickBot="1">
      <c r="A3" s="170"/>
      <c r="B3" s="297" t="s">
        <v>299</v>
      </c>
      <c r="C3" s="298" t="s">
        <v>300</v>
      </c>
      <c r="D3" s="298" t="s">
        <v>301</v>
      </c>
      <c r="E3" s="298" t="s">
        <v>271</v>
      </c>
      <c r="F3" s="298" t="s">
        <v>302</v>
      </c>
      <c r="G3" s="299" t="s">
        <v>303</v>
      </c>
      <c r="H3" s="171" t="s">
        <v>13</v>
      </c>
      <c r="I3" s="169"/>
      <c r="J3" s="188" t="s">
        <v>101</v>
      </c>
      <c r="K3" s="188" t="s">
        <v>102</v>
      </c>
    </row>
    <row r="4" spans="1:11" ht="15" customHeight="1">
      <c r="A4" s="310" t="s">
        <v>103</v>
      </c>
      <c r="B4" s="351">
        <f>'Schedule A'!F36</f>
        <v>0</v>
      </c>
      <c r="C4" s="351">
        <f>'Schedule A'!G36</f>
        <v>0</v>
      </c>
      <c r="D4" s="351">
        <f>'Schedule A'!H36</f>
        <v>0</v>
      </c>
      <c r="E4" s="351">
        <f>'Schedule A'!I36</f>
        <v>0</v>
      </c>
      <c r="F4" s="351">
        <f>'Schedule A'!J36</f>
        <v>0</v>
      </c>
      <c r="G4" s="348">
        <f>'Schedule A'!K36</f>
        <v>0</v>
      </c>
      <c r="H4" s="352">
        <f>IFERROR(('Schedule A'!L36),0)</f>
        <v>0</v>
      </c>
      <c r="I4" s="189"/>
      <c r="J4" s="190">
        <f>AVERAGE('Srv Proj Modes 05,10,15'!N20:N31)</f>
        <v>0</v>
      </c>
      <c r="K4" s="274">
        <f>'Service Planning Worksheet'!F4</f>
        <v>12</v>
      </c>
    </row>
    <row r="5" spans="1:11" ht="15" customHeight="1">
      <c r="A5" s="310" t="s">
        <v>104</v>
      </c>
      <c r="B5" s="351">
        <f t="shared" ref="B5:G5" si="0">IFERROR((B4/12),0)</f>
        <v>0</v>
      </c>
      <c r="C5" s="351">
        <f t="shared" si="0"/>
        <v>0</v>
      </c>
      <c r="D5" s="351">
        <f t="shared" si="0"/>
        <v>0</v>
      </c>
      <c r="E5" s="351">
        <f t="shared" si="0"/>
        <v>0</v>
      </c>
      <c r="F5" s="351">
        <f t="shared" si="0"/>
        <v>0</v>
      </c>
      <c r="G5" s="348">
        <f t="shared" si="0"/>
        <v>0</v>
      </c>
      <c r="H5" s="352">
        <f t="shared" ref="H5" si="1">IFERROR((H4/12),0)</f>
        <v>0</v>
      </c>
      <c r="I5" s="191"/>
    </row>
    <row r="6" spans="1:11" ht="15" customHeight="1">
      <c r="A6" s="310" t="s">
        <v>105</v>
      </c>
      <c r="B6" s="351">
        <f t="shared" ref="B6:H6" si="2">IFERROR((B5/$J$4),0)</f>
        <v>0</v>
      </c>
      <c r="C6" s="351">
        <f t="shared" si="2"/>
        <v>0</v>
      </c>
      <c r="D6" s="351">
        <f t="shared" si="2"/>
        <v>0</v>
      </c>
      <c r="E6" s="351">
        <f t="shared" si="2"/>
        <v>0</v>
      </c>
      <c r="F6" s="351">
        <f t="shared" si="2"/>
        <v>0</v>
      </c>
      <c r="G6" s="348">
        <f t="shared" si="2"/>
        <v>0</v>
      </c>
      <c r="H6" s="352">
        <f t="shared" si="2"/>
        <v>0</v>
      </c>
    </row>
    <row r="7" spans="1:11" ht="15" customHeight="1" thickBot="1">
      <c r="A7" s="311" t="s">
        <v>106</v>
      </c>
      <c r="B7" s="349">
        <f t="shared" ref="B7:G7" si="3">B6/60</f>
        <v>0</v>
      </c>
      <c r="C7" s="349">
        <f t="shared" si="3"/>
        <v>0</v>
      </c>
      <c r="D7" s="349">
        <f t="shared" si="3"/>
        <v>0</v>
      </c>
      <c r="E7" s="349">
        <f t="shared" si="3"/>
        <v>0</v>
      </c>
      <c r="F7" s="349">
        <f t="shared" si="3"/>
        <v>0</v>
      </c>
      <c r="G7" s="349">
        <f t="shared" si="3"/>
        <v>0</v>
      </c>
      <c r="H7" s="350">
        <f t="shared" ref="H7" si="4">H6/60</f>
        <v>0</v>
      </c>
    </row>
    <row r="8" spans="1:11" ht="13">
      <c r="H8" s="172"/>
    </row>
    <row r="9" spans="1:11" ht="13">
      <c r="G9" s="173" t="s">
        <v>107</v>
      </c>
      <c r="H9" s="174">
        <f>H7*K4</f>
        <v>0</v>
      </c>
    </row>
  </sheetData>
  <sheetProtection algorithmName="SHA-512" hashValue="RrJmuW3B/G4jsdCV4wWYHSUURcXIe/8ET7hk0oDFoOC1iwDq1483MRaGRQZPpYsHK3PpxzJ7B4b35K3at5OtlA==" saltValue="gSiL5d49CQtlDAGI8pSuww==" spinCount="100000" sheet="1" selectLockedCells="1"/>
  <mergeCells count="1">
    <mergeCell ref="B2:G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78372-479D-481F-AA39-A064FFF61D49}">
  <sheetPr>
    <tabColor rgb="FF00B0F0"/>
  </sheetPr>
  <dimension ref="A1:E27"/>
  <sheetViews>
    <sheetView workbookViewId="0">
      <selection activeCell="B30" sqref="B30"/>
    </sheetView>
  </sheetViews>
  <sheetFormatPr defaultColWidth="9.1796875" defaultRowHeight="15.5"/>
  <cols>
    <col min="1" max="1" width="65.1796875" style="285" bestFit="1" customWidth="1"/>
    <col min="2" max="2" width="30.81640625" style="285" bestFit="1" customWidth="1"/>
    <col min="3" max="3" width="30.81640625" bestFit="1" customWidth="1"/>
    <col min="4" max="4" width="19.1796875" style="285" customWidth="1"/>
    <col min="5" max="5" width="9.7265625" style="285" bestFit="1" customWidth="1"/>
    <col min="6" max="16384" width="9.1796875" style="285"/>
  </cols>
  <sheetData>
    <row r="1" spans="1:5">
      <c r="A1" s="285" t="s">
        <v>294</v>
      </c>
      <c r="C1" s="285"/>
    </row>
    <row r="2" spans="1:5">
      <c r="C2" s="285"/>
    </row>
    <row r="3" spans="1:5">
      <c r="A3" s="285" t="s">
        <v>372</v>
      </c>
      <c r="B3" s="346" t="s">
        <v>329</v>
      </c>
      <c r="C3" s="346" t="s">
        <v>342</v>
      </c>
      <c r="D3" s="346" t="s">
        <v>298</v>
      </c>
    </row>
    <row r="4" spans="1:5">
      <c r="A4" s="284" t="s">
        <v>119</v>
      </c>
      <c r="B4" s="286">
        <f>D4*0.7</f>
        <v>257.82399999999996</v>
      </c>
      <c r="C4" s="286">
        <f>D4*0.75</f>
        <v>276.24</v>
      </c>
      <c r="D4" s="286">
        <v>368.32</v>
      </c>
      <c r="E4" s="294"/>
    </row>
    <row r="5" spans="1:5">
      <c r="A5" s="284" t="s">
        <v>120</v>
      </c>
      <c r="B5" s="286">
        <f t="shared" ref="B5:B19" si="0">D5*0.7</f>
        <v>239.69866666666667</v>
      </c>
      <c r="C5" s="286">
        <f t="shared" ref="C5:C19" si="1">D5*0.75</f>
        <v>256.82</v>
      </c>
      <c r="D5" s="286">
        <v>342.42666666666668</v>
      </c>
    </row>
    <row r="6" spans="1:5">
      <c r="A6" s="284" t="s">
        <v>292</v>
      </c>
      <c r="B6" s="286">
        <f t="shared" si="0"/>
        <v>310.82799999999997</v>
      </c>
      <c r="C6" s="286">
        <f t="shared" si="1"/>
        <v>333.03</v>
      </c>
      <c r="D6" s="286">
        <v>444.03999999999996</v>
      </c>
    </row>
    <row r="7" spans="1:5">
      <c r="A7" s="284" t="s">
        <v>118</v>
      </c>
      <c r="B7" s="286">
        <f t="shared" si="0"/>
        <v>1194.3306666666667</v>
      </c>
      <c r="C7" s="286">
        <f t="shared" si="1"/>
        <v>1279.6400000000001</v>
      </c>
      <c r="D7" s="286">
        <v>1706.1866666666667</v>
      </c>
    </row>
    <row r="8" spans="1:5">
      <c r="A8" s="284" t="s">
        <v>121</v>
      </c>
      <c r="B8" s="286">
        <f t="shared" si="0"/>
        <v>218.47466666666668</v>
      </c>
      <c r="C8" s="286">
        <f t="shared" si="1"/>
        <v>234.08</v>
      </c>
      <c r="D8" s="286">
        <v>312.10666666666668</v>
      </c>
    </row>
    <row r="9" spans="1:5">
      <c r="A9" s="284" t="s">
        <v>122</v>
      </c>
      <c r="B9" s="286">
        <f t="shared" si="0"/>
        <v>254.84666666666664</v>
      </c>
      <c r="C9" s="286">
        <f t="shared" si="1"/>
        <v>273.05</v>
      </c>
      <c r="D9" s="286">
        <v>364.06666666666666</v>
      </c>
    </row>
    <row r="10" spans="1:5">
      <c r="A10" s="284" t="s">
        <v>123</v>
      </c>
      <c r="B10" s="286">
        <f t="shared" si="0"/>
        <v>175.18666666666664</v>
      </c>
      <c r="C10" s="286">
        <f t="shared" si="1"/>
        <v>187.7</v>
      </c>
      <c r="D10" s="286">
        <v>250.26666666666665</v>
      </c>
    </row>
    <row r="11" spans="1:5">
      <c r="A11" s="284" t="s">
        <v>124</v>
      </c>
      <c r="B11" s="286">
        <f t="shared" si="0"/>
        <v>233.85599999999997</v>
      </c>
      <c r="C11" s="286">
        <f t="shared" si="1"/>
        <v>250.56</v>
      </c>
      <c r="D11" s="286">
        <v>334.08</v>
      </c>
    </row>
    <row r="12" spans="1:5">
      <c r="A12" s="284" t="s">
        <v>293</v>
      </c>
      <c r="B12" s="286">
        <f t="shared" si="0"/>
        <v>310.82799999999997</v>
      </c>
      <c r="C12" s="286">
        <f t="shared" si="1"/>
        <v>333.03000000000003</v>
      </c>
      <c r="D12" s="286">
        <v>444.04</v>
      </c>
    </row>
    <row r="13" spans="1:5">
      <c r="A13" s="284" t="s">
        <v>125</v>
      </c>
      <c r="B13" s="286">
        <f t="shared" si="0"/>
        <v>593.91733333333332</v>
      </c>
      <c r="C13" s="286">
        <f t="shared" si="1"/>
        <v>636.34</v>
      </c>
      <c r="D13" s="286">
        <v>848.45333333333338</v>
      </c>
    </row>
    <row r="14" spans="1:5">
      <c r="A14" s="284" t="s">
        <v>126</v>
      </c>
      <c r="B14" s="286">
        <f t="shared" si="0"/>
        <v>413.76533333333333</v>
      </c>
      <c r="C14" s="286">
        <f t="shared" si="1"/>
        <v>443.32000000000005</v>
      </c>
      <c r="D14" s="286">
        <v>591.09333333333336</v>
      </c>
    </row>
    <row r="15" spans="1:5">
      <c r="A15" s="284" t="s">
        <v>127</v>
      </c>
      <c r="B15" s="286">
        <f t="shared" si="0"/>
        <v>233.85599999999997</v>
      </c>
      <c r="C15" s="286">
        <f t="shared" si="1"/>
        <v>250.56</v>
      </c>
      <c r="D15" s="286">
        <v>334.08</v>
      </c>
    </row>
    <row r="16" spans="1:5">
      <c r="A16" s="284" t="s">
        <v>128</v>
      </c>
      <c r="B16" s="286">
        <f t="shared" si="0"/>
        <v>245.55066666666661</v>
      </c>
      <c r="C16" s="286">
        <f t="shared" si="1"/>
        <v>263.08999999999997</v>
      </c>
      <c r="D16" s="286">
        <v>350.78666666666663</v>
      </c>
    </row>
    <row r="17" spans="1:4">
      <c r="A17" s="284" t="s">
        <v>129</v>
      </c>
      <c r="B17" s="286">
        <f t="shared" si="0"/>
        <v>535.65866666666659</v>
      </c>
      <c r="C17" s="286">
        <f t="shared" si="1"/>
        <v>573.91999999999996</v>
      </c>
      <c r="D17" s="286">
        <v>765.22666666666657</v>
      </c>
    </row>
    <row r="18" spans="1:4">
      <c r="A18" s="284" t="s">
        <v>130</v>
      </c>
      <c r="B18" s="286">
        <f t="shared" si="0"/>
        <v>480.32133333333326</v>
      </c>
      <c r="C18" s="286">
        <f t="shared" si="1"/>
        <v>514.63</v>
      </c>
      <c r="D18" s="286">
        <v>686.17333333333329</v>
      </c>
    </row>
    <row r="19" spans="1:4">
      <c r="A19" s="284" t="s">
        <v>131</v>
      </c>
      <c r="B19" s="286">
        <f t="shared" si="0"/>
        <v>485.11866666666663</v>
      </c>
      <c r="C19" s="286">
        <f t="shared" si="1"/>
        <v>519.77</v>
      </c>
      <c r="D19" s="286">
        <v>693.02666666666664</v>
      </c>
    </row>
    <row r="21" spans="1:4">
      <c r="A21" s="285" t="s">
        <v>295</v>
      </c>
      <c r="B21" s="286">
        <v>13.22</v>
      </c>
    </row>
    <row r="22" spans="1:4">
      <c r="A22" s="285" t="s">
        <v>296</v>
      </c>
      <c r="B22" s="286">
        <v>22.32</v>
      </c>
    </row>
    <row r="26" spans="1:4">
      <c r="A26" s="238" t="s">
        <v>391</v>
      </c>
    </row>
    <row r="27" spans="1:4">
      <c r="A27" s="238" t="s">
        <v>392</v>
      </c>
    </row>
  </sheetData>
  <sortState xmlns:xlrd2="http://schemas.microsoft.com/office/spreadsheetml/2017/richdata2" ref="A4:D19">
    <sortCondition ref="A4:A19"/>
  </sortState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80FC0-9939-41AB-877F-3B78C823493E}">
  <sheetPr>
    <tabColor rgb="FFFFFF00"/>
  </sheetPr>
  <dimension ref="A12:D92"/>
  <sheetViews>
    <sheetView workbookViewId="0"/>
  </sheetViews>
  <sheetFormatPr defaultRowHeight="12.5"/>
  <cols>
    <col min="2" max="2" width="4.1796875" customWidth="1"/>
  </cols>
  <sheetData>
    <row r="12" spans="1:1" ht="15.5">
      <c r="A12" s="238" t="s">
        <v>330</v>
      </c>
    </row>
    <row r="14" spans="1:1" ht="13">
      <c r="A14" s="172" t="s">
        <v>331</v>
      </c>
    </row>
    <row r="15" spans="1:1" ht="13">
      <c r="A15" s="172"/>
    </row>
    <row r="17" spans="1:4" ht="13">
      <c r="A17" s="172"/>
    </row>
    <row r="18" spans="1:4">
      <c r="B18" s="35"/>
    </row>
    <row r="19" spans="1:4">
      <c r="C19" s="35"/>
    </row>
    <row r="20" spans="1:4" ht="13">
      <c r="A20" s="172" t="s">
        <v>332</v>
      </c>
      <c r="C20" s="35"/>
    </row>
    <row r="21" spans="1:4">
      <c r="B21" s="35"/>
      <c r="C21" s="35"/>
    </row>
    <row r="22" spans="1:4">
      <c r="C22" s="35"/>
    </row>
    <row r="23" spans="1:4">
      <c r="C23" s="35"/>
    </row>
    <row r="24" spans="1:4">
      <c r="B24" s="35"/>
    </row>
    <row r="25" spans="1:4">
      <c r="C25" s="35"/>
    </row>
    <row r="26" spans="1:4">
      <c r="C26" s="35"/>
    </row>
    <row r="27" spans="1:4">
      <c r="C27" s="35"/>
      <c r="D27" s="35"/>
    </row>
    <row r="28" spans="1:4">
      <c r="B28" s="35"/>
    </row>
    <row r="29" spans="1:4">
      <c r="C29" s="35"/>
    </row>
    <row r="30" spans="1:4">
      <c r="C30" s="35"/>
    </row>
    <row r="31" spans="1:4">
      <c r="C31" s="35"/>
    </row>
    <row r="32" spans="1:4">
      <c r="B32" s="35"/>
    </row>
    <row r="34" spans="1:3" ht="13">
      <c r="A34" s="172"/>
    </row>
    <row r="35" spans="1:3">
      <c r="B35" s="35"/>
    </row>
    <row r="36" spans="1:3">
      <c r="B36" s="35"/>
      <c r="C36" s="35"/>
    </row>
    <row r="37" spans="1:3">
      <c r="B37" s="35"/>
    </row>
    <row r="38" spans="1:3">
      <c r="B38" s="35"/>
    </row>
    <row r="39" spans="1:3">
      <c r="B39" s="35"/>
    </row>
    <row r="40" spans="1:3">
      <c r="C40" s="35"/>
    </row>
    <row r="41" spans="1:3">
      <c r="C41" s="35"/>
    </row>
    <row r="42" spans="1:3">
      <c r="C42" s="35"/>
    </row>
    <row r="43" spans="1:3">
      <c r="B43" s="35"/>
    </row>
    <row r="44" spans="1:3">
      <c r="C44" s="35"/>
    </row>
    <row r="45" spans="1:3">
      <c r="C45" s="35"/>
    </row>
    <row r="46" spans="1:3">
      <c r="C46" s="35"/>
    </row>
    <row r="47" spans="1:3">
      <c r="B47" s="35"/>
    </row>
    <row r="48" spans="1:3">
      <c r="C48" s="35"/>
    </row>
    <row r="49" spans="1:3">
      <c r="C49" s="35"/>
    </row>
    <row r="50" spans="1:3">
      <c r="B50" s="35"/>
    </row>
    <row r="51" spans="1:3">
      <c r="B51" s="35"/>
      <c r="C51" s="35"/>
    </row>
    <row r="52" spans="1:3">
      <c r="C52" s="35"/>
    </row>
    <row r="53" spans="1:3">
      <c r="C53" s="35"/>
    </row>
    <row r="54" spans="1:3" ht="13">
      <c r="A54" s="172"/>
    </row>
    <row r="55" spans="1:3">
      <c r="B55" s="35"/>
    </row>
    <row r="56" spans="1:3">
      <c r="B56" s="35"/>
      <c r="C56" s="35"/>
    </row>
    <row r="57" spans="1:3">
      <c r="B57" s="35"/>
    </row>
    <row r="58" spans="1:3">
      <c r="B58" s="35"/>
    </row>
    <row r="59" spans="1:3">
      <c r="B59" s="35"/>
    </row>
    <row r="60" spans="1:3">
      <c r="C60" s="35"/>
    </row>
    <row r="61" spans="1:3">
      <c r="C61" s="35"/>
    </row>
    <row r="62" spans="1:3">
      <c r="C62" s="35"/>
    </row>
    <row r="63" spans="1:3">
      <c r="B63" s="35"/>
    </row>
    <row r="64" spans="1:3">
      <c r="C64" s="35"/>
    </row>
    <row r="65" spans="1:3">
      <c r="C65" s="35"/>
    </row>
    <row r="66" spans="1:3">
      <c r="C66" s="35"/>
    </row>
    <row r="67" spans="1:3">
      <c r="B67" s="35"/>
    </row>
    <row r="68" spans="1:3">
      <c r="C68" s="35"/>
    </row>
    <row r="69" spans="1:3">
      <c r="C69" s="35"/>
    </row>
    <row r="70" spans="1:3">
      <c r="B70" s="35"/>
    </row>
    <row r="71" spans="1:3">
      <c r="B71" s="35"/>
      <c r="C71" s="35"/>
    </row>
    <row r="72" spans="1:3">
      <c r="C72" s="35"/>
    </row>
    <row r="73" spans="1:3">
      <c r="C73" s="35"/>
    </row>
    <row r="75" spans="1:3" ht="13">
      <c r="A75" s="172"/>
    </row>
    <row r="76" spans="1:3">
      <c r="B76" s="35"/>
    </row>
    <row r="77" spans="1:3">
      <c r="B77" s="35"/>
    </row>
    <row r="78" spans="1:3">
      <c r="B78" s="35"/>
    </row>
    <row r="79" spans="1:3">
      <c r="B79" s="35"/>
    </row>
    <row r="81" spans="1:2" ht="13">
      <c r="A81" s="172"/>
    </row>
    <row r="82" spans="1:2">
      <c r="B82" s="35"/>
    </row>
    <row r="84" spans="1:2" ht="13">
      <c r="A84" s="172"/>
    </row>
    <row r="85" spans="1:2">
      <c r="B85" s="35"/>
    </row>
    <row r="86" spans="1:2">
      <c r="B86" s="35"/>
    </row>
    <row r="87" spans="1:2">
      <c r="B87" s="35"/>
    </row>
    <row r="88" spans="1:2">
      <c r="B88" s="35"/>
    </row>
    <row r="89" spans="1:2">
      <c r="B89" s="218"/>
    </row>
    <row r="91" spans="1:2" ht="13">
      <c r="A91" s="172"/>
    </row>
    <row r="92" spans="1:2">
      <c r="B92" s="35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78F45-E323-4B23-95A1-4EC189387505}">
  <sheetPr>
    <tabColor rgb="FFFF0000"/>
    <pageSetUpPr fitToPage="1"/>
  </sheetPr>
  <dimension ref="B3:K37"/>
  <sheetViews>
    <sheetView workbookViewId="0">
      <selection activeCell="B30" sqref="B30"/>
    </sheetView>
  </sheetViews>
  <sheetFormatPr defaultColWidth="9.1796875" defaultRowHeight="14.5"/>
  <cols>
    <col min="1" max="1" width="9.1796875" style="209"/>
    <col min="2" max="3" width="17" style="209" customWidth="1"/>
    <col min="4" max="4" width="42.81640625" style="209" customWidth="1"/>
    <col min="5" max="5" width="8.81640625" style="209" customWidth="1"/>
    <col min="6" max="6" width="14.54296875" style="209" customWidth="1"/>
    <col min="7" max="8" width="18.7265625" style="209" customWidth="1"/>
    <col min="9" max="16384" width="9.1796875" style="209"/>
  </cols>
  <sheetData>
    <row r="3" spans="2:11">
      <c r="G3" s="210"/>
      <c r="H3" s="210"/>
    </row>
    <row r="4" spans="2:11">
      <c r="B4" s="210" t="s">
        <v>132</v>
      </c>
      <c r="C4" s="210"/>
      <c r="D4" s="210"/>
      <c r="E4" s="210"/>
      <c r="F4" s="210"/>
      <c r="G4" s="211" t="s">
        <v>389</v>
      </c>
      <c r="H4" s="211" t="s">
        <v>390</v>
      </c>
    </row>
    <row r="5" spans="2:11" ht="58">
      <c r="B5" s="211" t="s">
        <v>134</v>
      </c>
      <c r="C5" s="211" t="s">
        <v>135</v>
      </c>
      <c r="D5" s="211" t="s">
        <v>136</v>
      </c>
      <c r="E5" s="211" t="s">
        <v>133</v>
      </c>
      <c r="F5" s="211" t="s">
        <v>137</v>
      </c>
      <c r="G5" s="211" t="s">
        <v>342</v>
      </c>
      <c r="H5" s="211" t="s">
        <v>112</v>
      </c>
    </row>
    <row r="6" spans="2:11">
      <c r="B6" s="212" t="s">
        <v>139</v>
      </c>
      <c r="C6" s="212" t="s">
        <v>139</v>
      </c>
      <c r="D6" s="212" t="str">
        <f>RATES!A4</f>
        <v>Certified AOD Counselor</v>
      </c>
      <c r="E6" s="212" t="s">
        <v>138</v>
      </c>
      <c r="F6" s="213">
        <v>368.32</v>
      </c>
      <c r="G6" s="316" cm="1">
        <f t="array" ref="G6">_xlfn.SWITCH($G$5,"Category 1",VLOOKUP($D6,RATES!$A$3:$C$19,2),"Category 2",VLOOKUP($D6,RATES!$A$3:$C$19,3))</f>
        <v>276.24</v>
      </c>
      <c r="H6" s="214">
        <f t="shared" ref="H6:H21" si="0">G6/60</f>
        <v>4.6040000000000001</v>
      </c>
      <c r="I6" s="293"/>
    </row>
    <row r="7" spans="2:11">
      <c r="B7" s="212" t="s">
        <v>139</v>
      </c>
      <c r="C7" s="212" t="s">
        <v>139</v>
      </c>
      <c r="D7" s="212" t="str">
        <f>RATES!A5</f>
        <v>Community Health Worker</v>
      </c>
      <c r="E7" s="212" t="s">
        <v>138</v>
      </c>
      <c r="F7" s="213">
        <v>342.42666666666668</v>
      </c>
      <c r="G7" s="316" cm="1">
        <f t="array" ref="G7">_xlfn.SWITCH($G$5,"Category 1",VLOOKUP($D7,RATES!$A$3:$C$19,2),"Category 2",VLOOKUP($D7,RATES!$A$3:$C$19,3))</f>
        <v>256.82</v>
      </c>
      <c r="H7" s="214">
        <f t="shared" si="0"/>
        <v>4.2803333333333331</v>
      </c>
      <c r="I7" s="293"/>
      <c r="K7" s="338"/>
    </row>
    <row r="8" spans="2:11">
      <c r="B8" s="212" t="s">
        <v>139</v>
      </c>
      <c r="C8" s="212" t="s">
        <v>139</v>
      </c>
      <c r="D8" s="212" t="str">
        <f>RATES!A6</f>
        <v>LCSW (Licensed, Waivered or Registered)</v>
      </c>
      <c r="E8" s="277" t="s">
        <v>138</v>
      </c>
      <c r="F8" s="278">
        <v>444.03999999999996</v>
      </c>
      <c r="G8" s="316" cm="1">
        <f t="array" ref="G8">_xlfn.SWITCH($G$5,"Category 1",VLOOKUP($D8,RATES!$A$3:$C$19,2),"Category 2",VLOOKUP($D8,RATES!$A$3:$C$19,3))</f>
        <v>333.03</v>
      </c>
      <c r="H8" s="214">
        <f t="shared" si="0"/>
        <v>5.5504999999999995</v>
      </c>
      <c r="I8" s="293"/>
    </row>
    <row r="9" spans="2:11">
      <c r="B9" s="212" t="s">
        <v>139</v>
      </c>
      <c r="C9" s="212" t="s">
        <v>139</v>
      </c>
      <c r="D9" s="212" t="str">
        <f>RATES!A7</f>
        <v>Licensed Physician</v>
      </c>
      <c r="E9" s="212" t="s">
        <v>138</v>
      </c>
      <c r="F9" s="213">
        <v>1706.1866666666667</v>
      </c>
      <c r="G9" s="316" cm="1">
        <f t="array" ref="G9">_xlfn.SWITCH($G$5,"Category 1",VLOOKUP($D9,RATES!$A$3:$C$19,2),"Category 2",VLOOKUP($D9,RATES!$A$3:$C$19,3))</f>
        <v>1279.6400000000001</v>
      </c>
      <c r="H9" s="214">
        <f t="shared" si="0"/>
        <v>21.327333333333335</v>
      </c>
      <c r="I9" s="293"/>
    </row>
    <row r="10" spans="2:11">
      <c r="B10" s="212" t="s">
        <v>139</v>
      </c>
      <c r="C10" s="212" t="s">
        <v>139</v>
      </c>
      <c r="D10" s="212" t="str">
        <f>RATES!A8</f>
        <v>Licensed Psychiatric Technician</v>
      </c>
      <c r="E10" s="212" t="s">
        <v>138</v>
      </c>
      <c r="F10" s="213">
        <v>312.10666666666668</v>
      </c>
      <c r="G10" s="316" cm="1">
        <f t="array" ref="G10">_xlfn.SWITCH($G$5,"Category 1",VLOOKUP($D10,RATES!$A$3:$C$19,2),"Category 2",VLOOKUP($D10,RATES!$A$3:$C$19,3))</f>
        <v>234.08</v>
      </c>
      <c r="H10" s="214">
        <f t="shared" si="0"/>
        <v>3.9013333333333335</v>
      </c>
      <c r="I10" s="293"/>
    </row>
    <row r="11" spans="2:11">
      <c r="B11" s="212" t="s">
        <v>139</v>
      </c>
      <c r="C11" s="212" t="s">
        <v>139</v>
      </c>
      <c r="D11" s="212" t="str">
        <f>RATES!A9</f>
        <v>Licensed Vocational Nurse</v>
      </c>
      <c r="E11" s="212" t="s">
        <v>138</v>
      </c>
      <c r="F11" s="213">
        <v>364.06666666666666</v>
      </c>
      <c r="G11" s="316" cm="1">
        <f t="array" ref="G11">_xlfn.SWITCH($G$5,"Category 1",VLOOKUP($D11,RATES!$A$3:$C$19,2),"Category 2",VLOOKUP($D11,RATES!$A$3:$C$19,3))</f>
        <v>273.05</v>
      </c>
      <c r="H11" s="214">
        <f t="shared" si="0"/>
        <v>4.5508333333333333</v>
      </c>
      <c r="I11" s="293"/>
    </row>
    <row r="12" spans="2:11">
      <c r="B12" s="212" t="s">
        <v>139</v>
      </c>
      <c r="C12" s="212" t="s">
        <v>139</v>
      </c>
      <c r="D12" s="212" t="str">
        <f>RATES!A10</f>
        <v>Medical Assistant</v>
      </c>
      <c r="E12" s="212" t="s">
        <v>138</v>
      </c>
      <c r="F12" s="213">
        <v>250.26666666666665</v>
      </c>
      <c r="G12" s="316" cm="1">
        <f t="array" ref="G12">_xlfn.SWITCH($G$5,"Category 1",VLOOKUP($D12,RATES!$A$3:$C$19,2),"Category 2",VLOOKUP($D12,RATES!$A$3:$C$19,3))</f>
        <v>187.7</v>
      </c>
      <c r="H12" s="214">
        <f t="shared" si="0"/>
        <v>3.128333333333333</v>
      </c>
      <c r="I12" s="293"/>
    </row>
    <row r="13" spans="2:11">
      <c r="B13" s="212" t="s">
        <v>139</v>
      </c>
      <c r="C13" s="212" t="s">
        <v>139</v>
      </c>
      <c r="D13" s="212" t="str">
        <f>RATES!A11</f>
        <v>Mental Health Rehabilitation Specialist</v>
      </c>
      <c r="E13" s="212" t="s">
        <v>138</v>
      </c>
      <c r="F13" s="213">
        <v>334.08</v>
      </c>
      <c r="G13" s="316" cm="1">
        <f t="array" ref="G13">_xlfn.SWITCH($G$5,"Category 1",VLOOKUP($D13,RATES!$A$3:$C$19,2),"Category 2",VLOOKUP($D13,RATES!$A$3:$C$19,3))</f>
        <v>250.56</v>
      </c>
      <c r="H13" s="214">
        <f t="shared" si="0"/>
        <v>4.1760000000000002</v>
      </c>
      <c r="I13" s="293"/>
    </row>
    <row r="14" spans="2:11">
      <c r="B14" s="212" t="s">
        <v>139</v>
      </c>
      <c r="C14" s="212" t="s">
        <v>139</v>
      </c>
      <c r="D14" s="212" t="str">
        <f>RATES!A12</f>
        <v>MFT/LPCC (Licensed, Waivered or Registered)</v>
      </c>
      <c r="E14" s="312" t="s">
        <v>138</v>
      </c>
      <c r="F14" s="213">
        <v>444.04</v>
      </c>
      <c r="G14" s="316" cm="1">
        <f t="array" ref="G14">_xlfn.SWITCH($G$5,"Category 1",VLOOKUP($D14,RATES!$A$3:$C$19,2),"Category 2",VLOOKUP($D14,RATES!$A$3:$C$19,3))</f>
        <v>333.03000000000003</v>
      </c>
      <c r="H14" s="313">
        <f t="shared" si="0"/>
        <v>5.5505000000000004</v>
      </c>
      <c r="I14" s="293"/>
    </row>
    <row r="15" spans="2:11">
      <c r="B15" s="212" t="s">
        <v>139</v>
      </c>
      <c r="C15" s="212" t="s">
        <v>139</v>
      </c>
      <c r="D15" s="212" t="str">
        <f>RATES!A13</f>
        <v>Nurse Practitioner</v>
      </c>
      <c r="E15" s="212" t="s">
        <v>138</v>
      </c>
      <c r="F15" s="213">
        <v>848.45333333333338</v>
      </c>
      <c r="G15" s="316" cm="1">
        <f t="array" ref="G15">_xlfn.SWITCH($G$5,"Category 1",VLOOKUP($D15,RATES!$A$3:$C$19,2),"Category 2",VLOOKUP($D15,RATES!$A$3:$C$19,3))</f>
        <v>636.34</v>
      </c>
      <c r="H15" s="214">
        <f t="shared" si="0"/>
        <v>10.605666666666668</v>
      </c>
      <c r="I15" s="293"/>
    </row>
    <row r="16" spans="2:11">
      <c r="B16" s="212" t="s">
        <v>139</v>
      </c>
      <c r="C16" s="212" t="s">
        <v>139</v>
      </c>
      <c r="D16" s="212" t="str">
        <f>RATES!A14</f>
        <v>Occupational Therapist</v>
      </c>
      <c r="E16" s="212" t="s">
        <v>138</v>
      </c>
      <c r="F16" s="213">
        <v>591.09333333333336</v>
      </c>
      <c r="G16" s="316" cm="1">
        <f t="array" ref="G16">_xlfn.SWITCH($G$5,"Category 1",VLOOKUP($D16,RATES!$A$3:$C$19,2),"Category 2",VLOOKUP($D16,RATES!$A$3:$C$19,3))</f>
        <v>443.32000000000005</v>
      </c>
      <c r="H16" s="214">
        <f t="shared" si="0"/>
        <v>7.3886666666666674</v>
      </c>
      <c r="I16" s="293"/>
    </row>
    <row r="17" spans="2:9">
      <c r="B17" s="212" t="s">
        <v>139</v>
      </c>
      <c r="C17" s="212" t="s">
        <v>139</v>
      </c>
      <c r="D17" s="212" t="str">
        <f>RATES!A15</f>
        <v>Other Qualified Practitioner</v>
      </c>
      <c r="E17" s="212" t="s">
        <v>138</v>
      </c>
      <c r="F17" s="213">
        <v>334.08</v>
      </c>
      <c r="G17" s="316" cm="1">
        <f t="array" ref="G17">_xlfn.SWITCH($G$5,"Category 1",VLOOKUP($D17,RATES!$A$3:$C$19,2),"Category 2",VLOOKUP($D17,RATES!$A$3:$C$19,3))</f>
        <v>250.56</v>
      </c>
      <c r="H17" s="214">
        <f t="shared" si="0"/>
        <v>4.1760000000000002</v>
      </c>
      <c r="I17" s="293"/>
    </row>
    <row r="18" spans="2:9">
      <c r="B18" s="212" t="s">
        <v>139</v>
      </c>
      <c r="C18" s="212" t="s">
        <v>139</v>
      </c>
      <c r="D18" s="212" t="str">
        <f>RATES!A16</f>
        <v>Peer Support Specialists</v>
      </c>
      <c r="E18" s="212" t="s">
        <v>138</v>
      </c>
      <c r="F18" s="213">
        <v>350.78666666666663</v>
      </c>
      <c r="G18" s="316" cm="1">
        <f t="array" ref="G18">_xlfn.SWITCH($G$5,"Category 1",VLOOKUP($D18,RATES!$A$3:$C$19,2),"Category 2",VLOOKUP($D18,RATES!$A$3:$C$19,3))</f>
        <v>263.08999999999997</v>
      </c>
      <c r="H18" s="214">
        <f t="shared" si="0"/>
        <v>4.3848333333333329</v>
      </c>
      <c r="I18" s="293"/>
    </row>
    <row r="19" spans="2:9">
      <c r="B19" s="212" t="s">
        <v>139</v>
      </c>
      <c r="C19" s="212" t="s">
        <v>139</v>
      </c>
      <c r="D19" s="212" t="str">
        <f>RATES!A17</f>
        <v>Physician Assistant</v>
      </c>
      <c r="E19" s="212" t="s">
        <v>138</v>
      </c>
      <c r="F19" s="213">
        <v>765.22666666666657</v>
      </c>
      <c r="G19" s="316" cm="1">
        <f t="array" ref="G19">_xlfn.SWITCH($G$5,"Category 1",VLOOKUP($D19,RATES!$A$3:$C$19,2),"Category 2",VLOOKUP($D19,RATES!$A$3:$C$19,3))</f>
        <v>573.91999999999996</v>
      </c>
      <c r="H19" s="214">
        <f t="shared" si="0"/>
        <v>9.5653333333333332</v>
      </c>
      <c r="I19" s="293"/>
    </row>
    <row r="20" spans="2:9">
      <c r="B20" s="212" t="s">
        <v>139</v>
      </c>
      <c r="C20" s="212" t="s">
        <v>139</v>
      </c>
      <c r="D20" s="212" t="str">
        <f>RATES!A18</f>
        <v>Psychologist (Licensed or Waivered)</v>
      </c>
      <c r="E20" s="212" t="s">
        <v>138</v>
      </c>
      <c r="F20" s="213">
        <v>686.17333333333329</v>
      </c>
      <c r="G20" s="316" cm="1">
        <f t="array" ref="G20">_xlfn.SWITCH($G$5,"Category 1",VLOOKUP($D20,RATES!$A$3:$C$19,2),"Category 2",VLOOKUP($D20,RATES!$A$3:$C$19,3))</f>
        <v>514.63</v>
      </c>
      <c r="H20" s="214">
        <f t="shared" si="0"/>
        <v>8.5771666666666668</v>
      </c>
      <c r="I20" s="293"/>
    </row>
    <row r="21" spans="2:9">
      <c r="B21" s="212" t="s">
        <v>139</v>
      </c>
      <c r="C21" s="212" t="s">
        <v>139</v>
      </c>
      <c r="D21" s="212" t="str">
        <f>RATES!A19</f>
        <v>Registered Nurse</v>
      </c>
      <c r="E21" s="212" t="s">
        <v>138</v>
      </c>
      <c r="F21" s="213">
        <v>693.02666666666664</v>
      </c>
      <c r="G21" s="316" cm="1">
        <f t="array" ref="G21">_xlfn.SWITCH($G$5,"Category 1",VLOOKUP($D21,RATES!$A$3:$C$19,2),"Category 2",VLOOKUP($D21,RATES!$A$3:$C$19,3))</f>
        <v>519.77</v>
      </c>
      <c r="H21" s="214">
        <f t="shared" si="0"/>
        <v>8.6628333333333334</v>
      </c>
      <c r="I21" s="293"/>
    </row>
    <row r="24" spans="2:9">
      <c r="D24" s="239" t="s">
        <v>227</v>
      </c>
    </row>
    <row r="25" spans="2:9">
      <c r="E25" s="240">
        <v>1</v>
      </c>
      <c r="F25" s="209" t="s">
        <v>228</v>
      </c>
    </row>
    <row r="26" spans="2:9">
      <c r="E26" s="240">
        <v>2</v>
      </c>
      <c r="F26" s="209" t="s">
        <v>229</v>
      </c>
    </row>
    <row r="27" spans="2:9">
      <c r="E27" s="240">
        <v>3</v>
      </c>
      <c r="F27" s="209" t="s">
        <v>262</v>
      </c>
    </row>
    <row r="28" spans="2:9">
      <c r="E28" s="240">
        <v>4</v>
      </c>
      <c r="F28" s="209" t="s">
        <v>263</v>
      </c>
    </row>
    <row r="29" spans="2:9">
      <c r="E29" s="240"/>
    </row>
    <row r="30" spans="2:9">
      <c r="E30" s="240"/>
    </row>
    <row r="31" spans="2:9">
      <c r="E31" s="240"/>
    </row>
    <row r="32" spans="2:9">
      <c r="E32" s="240"/>
    </row>
    <row r="33" spans="5:5">
      <c r="E33" s="240"/>
    </row>
    <row r="34" spans="5:5">
      <c r="E34" s="240"/>
    </row>
    <row r="35" spans="5:5">
      <c r="E35" s="240"/>
    </row>
    <row r="36" spans="5:5">
      <c r="E36" s="240"/>
    </row>
    <row r="37" spans="5:5">
      <c r="E37" s="240"/>
    </row>
  </sheetData>
  <conditionalFormatting sqref="B6:F21">
    <cfRule type="expression" dxfId="0" priority="1">
      <formula>#REF!&lt;&gt;""</formula>
    </cfRule>
  </conditionalFormatting>
  <pageMargins left="0.25" right="0.25" top="0.75" bottom="0.75" header="0.3" footer="0.3"/>
  <pageSetup scale="38" fitToHeight="0" orientation="landscape" horizontalDpi="1200" verticalDpi="1200" r:id="rId1"/>
  <headerFooter>
    <oddHeader>&amp;LSan Bernardino DBH&amp;RDraft and Confidential</oddHeader>
    <oddFooter>&amp;L&amp;F | &amp;A&amp;R&amp;G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D20D27-AAD0-428E-90FD-49A23A0DC84F}">
          <x14:formula1>
            <xm:f>'List of Values'!$F$2:$F$3</xm:f>
          </x14:formula1>
          <xm:sqref>G5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4579F-5E09-4E87-A3AB-2157254C4941}">
  <sheetPr>
    <tabColor rgb="FFFF0000"/>
  </sheetPr>
  <dimension ref="A1:E21"/>
  <sheetViews>
    <sheetView workbookViewId="0">
      <selection activeCell="D3" sqref="D3"/>
    </sheetView>
  </sheetViews>
  <sheetFormatPr defaultColWidth="8.7265625" defaultRowHeight="20.149999999999999" customHeight="1"/>
  <cols>
    <col min="1" max="1" width="45.81640625" style="194" bestFit="1" customWidth="1"/>
    <col min="2" max="2" width="11.54296875" style="35" customWidth="1"/>
    <col min="3" max="3" width="10.81640625" style="35" bestFit="1" customWidth="1"/>
    <col min="4" max="4" width="25.453125" style="35" customWidth="1"/>
    <col min="5" max="5" width="23.54296875" style="193" customWidth="1"/>
    <col min="6" max="16384" width="8.7265625" style="35"/>
  </cols>
  <sheetData>
    <row r="1" spans="1:5" ht="20.149999999999999" customHeight="1">
      <c r="A1" s="209"/>
      <c r="B1" s="192"/>
      <c r="C1" s="259" t="s">
        <v>248</v>
      </c>
      <c r="D1" s="35" t="str">
        <f>'Rates Utilized by DBH Per Min'!G5</f>
        <v>Category 2</v>
      </c>
      <c r="E1" s="215" t="s">
        <v>390</v>
      </c>
    </row>
    <row r="2" spans="1:5" ht="38.15" customHeight="1">
      <c r="A2" s="192" t="s">
        <v>114</v>
      </c>
      <c r="B2" s="192" t="s">
        <v>115</v>
      </c>
      <c r="C2" s="192" t="s">
        <v>113</v>
      </c>
      <c r="D2" s="217" t="s">
        <v>140</v>
      </c>
      <c r="E2" s="215" t="str">
        <f>D1</f>
        <v>Category 2</v>
      </c>
    </row>
    <row r="3" spans="1:5" ht="20.149999999999999" customHeight="1">
      <c r="A3" s="195" t="str">
        <f>RATES!A4</f>
        <v>Certified AOD Counselor</v>
      </c>
      <c r="B3" s="315">
        <f>'Rates Utilized by DBH Per Min'!G6</f>
        <v>276.24</v>
      </c>
      <c r="C3" s="193">
        <f>B3/60</f>
        <v>4.6040000000000001</v>
      </c>
      <c r="D3" s="216">
        <f>E3</f>
        <v>4.6040000000000001</v>
      </c>
      <c r="E3" s="193">
        <f>'Rates Utilized by DBH Per Min'!H6</f>
        <v>4.6040000000000001</v>
      </c>
    </row>
    <row r="4" spans="1:5" ht="20.149999999999999" customHeight="1">
      <c r="A4" s="195" t="str">
        <f>RATES!A5</f>
        <v>Community Health Worker</v>
      </c>
      <c r="B4" s="315">
        <f>'Rates Utilized by DBH Per Min'!G7</f>
        <v>256.82</v>
      </c>
      <c r="C4" s="193">
        <f t="shared" ref="C4:C18" si="0">B4/60</f>
        <v>4.2803333333333331</v>
      </c>
      <c r="D4" s="216">
        <f t="shared" ref="D4:D18" si="1">E4</f>
        <v>4.2803333333333331</v>
      </c>
      <c r="E4" s="193">
        <f>'Rates Utilized by DBH Per Min'!H7</f>
        <v>4.2803333333333331</v>
      </c>
    </row>
    <row r="5" spans="1:5" ht="20.149999999999999" customHeight="1">
      <c r="A5" s="195" t="str">
        <f>RATES!A6</f>
        <v>LCSW (Licensed, Waivered or Registered)</v>
      </c>
      <c r="B5" s="315">
        <f>'Rates Utilized by DBH Per Min'!G8</f>
        <v>333.03</v>
      </c>
      <c r="C5" s="193">
        <f t="shared" si="0"/>
        <v>5.5504999999999995</v>
      </c>
      <c r="D5" s="216">
        <f t="shared" si="1"/>
        <v>5.5504999999999995</v>
      </c>
      <c r="E5" s="193">
        <f>'Rates Utilized by DBH Per Min'!H8</f>
        <v>5.5504999999999995</v>
      </c>
    </row>
    <row r="6" spans="1:5" ht="20.149999999999999" customHeight="1">
      <c r="A6" s="195" t="str">
        <f>RATES!A7</f>
        <v>Licensed Physician</v>
      </c>
      <c r="B6" s="315">
        <f>'Rates Utilized by DBH Per Min'!G9</f>
        <v>1279.6400000000001</v>
      </c>
      <c r="C6" s="193">
        <f t="shared" si="0"/>
        <v>21.327333333333335</v>
      </c>
      <c r="D6" s="216">
        <f t="shared" si="1"/>
        <v>21.327333333333335</v>
      </c>
      <c r="E6" s="193">
        <f>'Rates Utilized by DBH Per Min'!H9</f>
        <v>21.327333333333335</v>
      </c>
    </row>
    <row r="7" spans="1:5" ht="20.149999999999999" customHeight="1">
      <c r="A7" s="195" t="str">
        <f>RATES!A8</f>
        <v>Licensed Psychiatric Technician</v>
      </c>
      <c r="B7" s="315">
        <f>'Rates Utilized by DBH Per Min'!G10</f>
        <v>234.08</v>
      </c>
      <c r="C7" s="193">
        <f t="shared" si="0"/>
        <v>3.9013333333333335</v>
      </c>
      <c r="D7" s="216">
        <f t="shared" si="1"/>
        <v>3.9013333333333335</v>
      </c>
      <c r="E7" s="193">
        <f>'Rates Utilized by DBH Per Min'!H10</f>
        <v>3.9013333333333335</v>
      </c>
    </row>
    <row r="8" spans="1:5" ht="20.149999999999999" customHeight="1">
      <c r="A8" s="195" t="str">
        <f>RATES!A9</f>
        <v>Licensed Vocational Nurse</v>
      </c>
      <c r="B8" s="315">
        <f>'Rates Utilized by DBH Per Min'!G11</f>
        <v>273.05</v>
      </c>
      <c r="C8" s="193">
        <f t="shared" si="0"/>
        <v>4.5508333333333333</v>
      </c>
      <c r="D8" s="216">
        <f t="shared" si="1"/>
        <v>4.5508333333333333</v>
      </c>
      <c r="E8" s="193">
        <f>'Rates Utilized by DBH Per Min'!H11</f>
        <v>4.5508333333333333</v>
      </c>
    </row>
    <row r="9" spans="1:5" ht="20.149999999999999" customHeight="1">
      <c r="A9" s="195" t="str">
        <f>RATES!A10</f>
        <v>Medical Assistant</v>
      </c>
      <c r="B9" s="315">
        <f>'Rates Utilized by DBH Per Min'!G12</f>
        <v>187.7</v>
      </c>
      <c r="C9" s="193">
        <f t="shared" si="0"/>
        <v>3.128333333333333</v>
      </c>
      <c r="D9" s="216">
        <f t="shared" si="1"/>
        <v>3.128333333333333</v>
      </c>
      <c r="E9" s="193">
        <f>'Rates Utilized by DBH Per Min'!H12</f>
        <v>3.128333333333333</v>
      </c>
    </row>
    <row r="10" spans="1:5" ht="20.149999999999999" customHeight="1">
      <c r="A10" s="195" t="str">
        <f>RATES!A11</f>
        <v>Mental Health Rehabilitation Specialist</v>
      </c>
      <c r="B10" s="315">
        <f>'Rates Utilized by DBH Per Min'!G13</f>
        <v>250.56</v>
      </c>
      <c r="C10" s="193">
        <f t="shared" si="0"/>
        <v>4.1760000000000002</v>
      </c>
      <c r="D10" s="216">
        <f t="shared" si="1"/>
        <v>4.1760000000000002</v>
      </c>
      <c r="E10" s="193">
        <f>'Rates Utilized by DBH Per Min'!H13</f>
        <v>4.1760000000000002</v>
      </c>
    </row>
    <row r="11" spans="1:5" ht="20.149999999999999" customHeight="1">
      <c r="A11" s="195" t="str">
        <f>RATES!A12</f>
        <v>MFT/LPCC (Licensed, Waivered or Registered)</v>
      </c>
      <c r="B11" s="315">
        <f>'Rates Utilized by DBH Per Min'!G14</f>
        <v>333.03000000000003</v>
      </c>
      <c r="C11" s="193">
        <f t="shared" si="0"/>
        <v>5.5505000000000004</v>
      </c>
      <c r="D11" s="216">
        <f t="shared" si="1"/>
        <v>5.5505000000000004</v>
      </c>
      <c r="E11" s="193">
        <f>'Rates Utilized by DBH Per Min'!H14</f>
        <v>5.5505000000000004</v>
      </c>
    </row>
    <row r="12" spans="1:5" ht="20.149999999999999" customHeight="1">
      <c r="A12" s="195" t="str">
        <f>RATES!A13</f>
        <v>Nurse Practitioner</v>
      </c>
      <c r="B12" s="315">
        <f>'Rates Utilized by DBH Per Min'!G15</f>
        <v>636.34</v>
      </c>
      <c r="C12" s="193">
        <f t="shared" si="0"/>
        <v>10.605666666666668</v>
      </c>
      <c r="D12" s="216">
        <f t="shared" si="1"/>
        <v>10.605666666666668</v>
      </c>
      <c r="E12" s="193">
        <f>'Rates Utilized by DBH Per Min'!H15</f>
        <v>10.605666666666668</v>
      </c>
    </row>
    <row r="13" spans="1:5" ht="20.149999999999999" customHeight="1">
      <c r="A13" s="195" t="str">
        <f>RATES!A14</f>
        <v>Occupational Therapist</v>
      </c>
      <c r="B13" s="315">
        <f>'Rates Utilized by DBH Per Min'!G16</f>
        <v>443.32000000000005</v>
      </c>
      <c r="C13" s="193">
        <f t="shared" si="0"/>
        <v>7.3886666666666674</v>
      </c>
      <c r="D13" s="216">
        <f t="shared" si="1"/>
        <v>7.3886666666666674</v>
      </c>
      <c r="E13" s="193">
        <f>'Rates Utilized by DBH Per Min'!H16</f>
        <v>7.3886666666666674</v>
      </c>
    </row>
    <row r="14" spans="1:5" ht="20.149999999999999" customHeight="1">
      <c r="A14" s="195" t="str">
        <f>RATES!A15</f>
        <v>Other Qualified Practitioner</v>
      </c>
      <c r="B14" s="315">
        <f>'Rates Utilized by DBH Per Min'!G17</f>
        <v>250.56</v>
      </c>
      <c r="C14" s="193">
        <f t="shared" si="0"/>
        <v>4.1760000000000002</v>
      </c>
      <c r="D14" s="216">
        <f t="shared" si="1"/>
        <v>4.1760000000000002</v>
      </c>
      <c r="E14" s="193">
        <f>'Rates Utilized by DBH Per Min'!H17</f>
        <v>4.1760000000000002</v>
      </c>
    </row>
    <row r="15" spans="1:5" ht="20.149999999999999" customHeight="1">
      <c r="A15" s="195" t="str">
        <f>RATES!A16</f>
        <v>Peer Support Specialists</v>
      </c>
      <c r="B15" s="315">
        <f>'Rates Utilized by DBH Per Min'!G18</f>
        <v>263.08999999999997</v>
      </c>
      <c r="C15" s="193">
        <f t="shared" si="0"/>
        <v>4.3848333333333329</v>
      </c>
      <c r="D15" s="216">
        <f t="shared" si="1"/>
        <v>4.3848333333333329</v>
      </c>
      <c r="E15" s="193">
        <f>'Rates Utilized by DBH Per Min'!H18</f>
        <v>4.3848333333333329</v>
      </c>
    </row>
    <row r="16" spans="1:5" ht="20.149999999999999" customHeight="1">
      <c r="A16" s="195" t="str">
        <f>RATES!A17</f>
        <v>Physician Assistant</v>
      </c>
      <c r="B16" s="315">
        <f>'Rates Utilized by DBH Per Min'!G19</f>
        <v>573.91999999999996</v>
      </c>
      <c r="C16" s="193">
        <f t="shared" si="0"/>
        <v>9.5653333333333332</v>
      </c>
      <c r="D16" s="216">
        <f t="shared" si="1"/>
        <v>9.5653333333333332</v>
      </c>
      <c r="E16" s="193">
        <f>'Rates Utilized by DBH Per Min'!H19</f>
        <v>9.5653333333333332</v>
      </c>
    </row>
    <row r="17" spans="1:5" ht="20.149999999999999" customHeight="1">
      <c r="A17" s="195" t="str">
        <f>RATES!A18</f>
        <v>Psychologist (Licensed or Waivered)</v>
      </c>
      <c r="B17" s="315">
        <f>'Rates Utilized by DBH Per Min'!G20</f>
        <v>514.63</v>
      </c>
      <c r="C17" s="193">
        <f t="shared" si="0"/>
        <v>8.5771666666666668</v>
      </c>
      <c r="D17" s="216">
        <f t="shared" si="1"/>
        <v>8.5771666666666668</v>
      </c>
      <c r="E17" s="193">
        <f>'Rates Utilized by DBH Per Min'!H20</f>
        <v>8.5771666666666668</v>
      </c>
    </row>
    <row r="18" spans="1:5" ht="20.149999999999999" customHeight="1">
      <c r="A18" s="195" t="str">
        <f>RATES!A19</f>
        <v>Registered Nurse</v>
      </c>
      <c r="B18" s="315">
        <f>'Rates Utilized by DBH Per Min'!G21</f>
        <v>519.77</v>
      </c>
      <c r="C18" s="193">
        <f t="shared" si="0"/>
        <v>8.6628333333333334</v>
      </c>
      <c r="D18" s="216">
        <f t="shared" si="1"/>
        <v>8.6628333333333334</v>
      </c>
      <c r="E18" s="193">
        <f>'Rates Utilized by DBH Per Min'!H21</f>
        <v>8.6628333333333334</v>
      </c>
    </row>
    <row r="20" spans="1:5" ht="20.149999999999999" customHeight="1">
      <c r="A20" s="121" t="s">
        <v>230</v>
      </c>
    </row>
    <row r="21" spans="1:5" ht="20.149999999999999" customHeight="1">
      <c r="A21" s="194" t="s">
        <v>231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F6AD72-938A-4FA5-9CFD-28C72EDF30C5}">
          <x14:formula1>
            <xm:f>'List of Values'!$F$2:$F$3</xm:f>
          </x14:formula1>
          <xm:sqref>D1 E2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7D838-5959-4BF2-8216-57B02C2314FF}">
  <sheetPr>
    <tabColor rgb="FF00B050"/>
  </sheetPr>
  <dimension ref="A2:T46"/>
  <sheetViews>
    <sheetView workbookViewId="0">
      <selection activeCell="A10" sqref="A10"/>
    </sheetView>
  </sheetViews>
  <sheetFormatPr defaultRowHeight="12.5"/>
  <cols>
    <col min="1" max="1" width="29.81640625" customWidth="1"/>
    <col min="2" max="2" width="23.81640625" customWidth="1"/>
    <col min="3" max="4" width="11.81640625" customWidth="1"/>
    <col min="5" max="5" width="20.26953125" customWidth="1"/>
    <col min="6" max="6" width="11.81640625" customWidth="1"/>
    <col min="7" max="7" width="12.81640625" customWidth="1"/>
    <col min="8" max="8" width="21.54296875" customWidth="1"/>
    <col min="9" max="9" width="16" customWidth="1"/>
    <col min="10" max="10" width="11.81640625" customWidth="1"/>
    <col min="11" max="11" width="2.26953125" customWidth="1"/>
    <col min="12" max="12" width="32.7265625" customWidth="1"/>
    <col min="13" max="14" width="14.54296875" customWidth="1"/>
    <col min="15" max="15" width="2.26953125" customWidth="1"/>
    <col min="16" max="16" width="32.7265625" customWidth="1"/>
    <col min="17" max="18" width="14.54296875" customWidth="1"/>
  </cols>
  <sheetData>
    <row r="2" spans="1:20" ht="13">
      <c r="A2" s="264"/>
      <c r="B2" s="264"/>
      <c r="C2" s="264"/>
      <c r="D2" s="265" t="s">
        <v>249</v>
      </c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4" spans="1:20">
      <c r="A4" s="35" t="s">
        <v>175</v>
      </c>
      <c r="E4" s="35" t="s">
        <v>182</v>
      </c>
      <c r="F4" s="345">
        <v>12</v>
      </c>
    </row>
    <row r="5" spans="1:20">
      <c r="A5" s="230" t="str">
        <f>'Rates Utilized by DBH Per Min'!G5</f>
        <v>Category 2</v>
      </c>
    </row>
    <row r="6" spans="1:20">
      <c r="E6" s="259" t="s">
        <v>232</v>
      </c>
      <c r="F6" s="231">
        <v>10</v>
      </c>
    </row>
    <row r="7" spans="1:20">
      <c r="E7" s="259"/>
    </row>
    <row r="8" spans="1:20">
      <c r="A8" s="35" t="s">
        <v>177</v>
      </c>
    </row>
    <row r="9" spans="1:20">
      <c r="A9" s="35" t="s">
        <v>404</v>
      </c>
      <c r="C9" s="179"/>
      <c r="D9" s="179"/>
      <c r="E9" s="226"/>
      <c r="F9" s="227"/>
      <c r="G9" s="179"/>
      <c r="I9" s="192"/>
      <c r="J9" s="192"/>
      <c r="K9" s="192"/>
      <c r="O9" s="192"/>
    </row>
    <row r="10" spans="1:20" ht="13">
      <c r="A10" s="342"/>
      <c r="B10" s="241"/>
      <c r="C10" s="258" t="s">
        <v>234</v>
      </c>
      <c r="D10" s="242"/>
      <c r="E10" s="243"/>
      <c r="F10" s="244"/>
      <c r="G10" s="242"/>
      <c r="H10" s="343" t="s">
        <v>233</v>
      </c>
      <c r="I10" s="245"/>
      <c r="J10" s="344"/>
      <c r="K10" s="245"/>
      <c r="L10" s="343" t="s">
        <v>235</v>
      </c>
      <c r="M10" s="245"/>
      <c r="N10" s="344"/>
      <c r="O10" s="245"/>
      <c r="P10" s="343" t="s">
        <v>244</v>
      </c>
      <c r="Q10" s="245"/>
      <c r="R10" s="344"/>
    </row>
    <row r="11" spans="1:20" ht="13">
      <c r="A11" s="246"/>
      <c r="C11" s="179"/>
      <c r="D11" s="179"/>
      <c r="E11" s="226" t="s">
        <v>173</v>
      </c>
      <c r="F11" s="227" t="s">
        <v>150</v>
      </c>
      <c r="G11" s="179"/>
      <c r="H11" s="246"/>
      <c r="I11" s="192" t="s">
        <v>179</v>
      </c>
      <c r="J11" s="247" t="s">
        <v>181</v>
      </c>
      <c r="K11" s="192"/>
      <c r="L11" s="260" t="s">
        <v>236</v>
      </c>
      <c r="M11" s="192"/>
      <c r="N11" s="247"/>
      <c r="O11" s="192"/>
      <c r="P11" s="260" t="s">
        <v>245</v>
      </c>
      <c r="Q11" s="192"/>
      <c r="R11" s="247"/>
    </row>
    <row r="12" spans="1:20">
      <c r="A12" s="246"/>
      <c r="C12" s="179" t="s">
        <v>166</v>
      </c>
      <c r="D12" s="179" t="s">
        <v>168</v>
      </c>
      <c r="E12" s="226" t="s">
        <v>174</v>
      </c>
      <c r="F12" s="248" t="s">
        <v>183</v>
      </c>
      <c r="G12" s="179"/>
      <c r="H12" s="246"/>
      <c r="I12" s="192" t="s">
        <v>180</v>
      </c>
      <c r="J12" s="247" t="s">
        <v>180</v>
      </c>
      <c r="K12" s="192"/>
      <c r="L12" s="246"/>
      <c r="M12" s="192" t="s">
        <v>237</v>
      </c>
      <c r="N12" s="247" t="s">
        <v>181</v>
      </c>
      <c r="O12" s="192"/>
      <c r="P12" s="246"/>
      <c r="Q12" s="192" t="s">
        <v>252</v>
      </c>
      <c r="R12" s="247" t="s">
        <v>246</v>
      </c>
    </row>
    <row r="13" spans="1:20" ht="13">
      <c r="A13" s="246" t="s">
        <v>112</v>
      </c>
      <c r="B13" t="s">
        <v>154</v>
      </c>
      <c r="C13" s="179" t="s">
        <v>165</v>
      </c>
      <c r="D13" s="179" t="s">
        <v>169</v>
      </c>
      <c r="E13" s="226"/>
      <c r="F13" s="227"/>
      <c r="H13" s="260" t="s">
        <v>154</v>
      </c>
      <c r="I13" s="192" t="s">
        <v>176</v>
      </c>
      <c r="J13" s="247" t="s">
        <v>176</v>
      </c>
      <c r="K13" s="192"/>
      <c r="L13" s="260" t="s">
        <v>154</v>
      </c>
      <c r="M13" s="192" t="s">
        <v>41</v>
      </c>
      <c r="N13" s="247" t="s">
        <v>41</v>
      </c>
      <c r="O13" s="192"/>
      <c r="P13" s="260" t="s">
        <v>154</v>
      </c>
      <c r="Q13" s="192" t="s">
        <v>253</v>
      </c>
      <c r="R13" s="247" t="s">
        <v>247</v>
      </c>
      <c r="T13" s="192" t="s">
        <v>261</v>
      </c>
    </row>
    <row r="14" spans="1:20">
      <c r="A14" s="246" t="s">
        <v>160</v>
      </c>
      <c r="B14" t="s">
        <v>147</v>
      </c>
      <c r="C14" s="179">
        <v>30</v>
      </c>
      <c r="D14" s="179" t="s">
        <v>172</v>
      </c>
      <c r="E14" s="341">
        <v>2</v>
      </c>
      <c r="F14" s="137">
        <f>C14*E14*$F$4</f>
        <v>720</v>
      </c>
      <c r="G14" s="249"/>
      <c r="H14" s="246" t="s">
        <v>147</v>
      </c>
      <c r="I14" s="137">
        <f>SUMIF($B$14:$B$24, "CM (SFC 1-09)", $F$14:$F$24)</f>
        <v>720</v>
      </c>
      <c r="J14" s="251">
        <f>I14/60</f>
        <v>12</v>
      </c>
      <c r="K14" s="250"/>
      <c r="L14" s="276" t="s">
        <v>147</v>
      </c>
      <c r="M14" s="137">
        <f>I14*$F$6</f>
        <v>7200</v>
      </c>
      <c r="N14" s="251">
        <f>M14/60</f>
        <v>120</v>
      </c>
      <c r="O14" s="250"/>
      <c r="P14" s="246" t="s">
        <v>147</v>
      </c>
      <c r="Q14" s="266">
        <f t="shared" ref="Q14:Q19" si="0">IFERROR((R14/$F$6),0)</f>
        <v>3501.54</v>
      </c>
      <c r="R14" s="263">
        <f>IFERROR((M14*'Staffing Planning Worksheet'!H25),0)</f>
        <v>35015.4</v>
      </c>
      <c r="T14" s="275">
        <f>IFERROR((R14/$R$22),0)</f>
        <v>6.1719727630841978E-2</v>
      </c>
    </row>
    <row r="15" spans="1:20">
      <c r="A15" s="246" t="s">
        <v>158</v>
      </c>
      <c r="B15" t="s">
        <v>145</v>
      </c>
      <c r="C15" s="179">
        <v>90</v>
      </c>
      <c r="D15" s="179" t="s">
        <v>171</v>
      </c>
      <c r="E15" s="341">
        <f>1/F4</f>
        <v>8.3333333333333329E-2</v>
      </c>
      <c r="F15" s="137">
        <f t="shared" ref="F15:F24" si="1">C15*E15*$F$4</f>
        <v>90</v>
      </c>
      <c r="G15" s="252"/>
      <c r="H15" s="246" t="s">
        <v>145</v>
      </c>
      <c r="I15" s="137">
        <f>SUMIF($B$14:$B$24, "MHS (SFC 10-50)", $F$14:$F$24)</f>
        <v>8007.6</v>
      </c>
      <c r="J15" s="251">
        <f t="shared" ref="J15:J18" si="2">I15/60</f>
        <v>133.46</v>
      </c>
      <c r="K15" s="250"/>
      <c r="L15" s="246" t="s">
        <v>145</v>
      </c>
      <c r="M15" s="137">
        <f t="shared" ref="M15:M18" si="3">I15*$F$6</f>
        <v>80076</v>
      </c>
      <c r="N15" s="251">
        <f t="shared" ref="N15:N18" si="4">M15/60</f>
        <v>1334.6</v>
      </c>
      <c r="O15" s="250"/>
      <c r="P15" s="246" t="s">
        <v>145</v>
      </c>
      <c r="Q15" s="266">
        <f t="shared" si="0"/>
        <v>38942.960699999996</v>
      </c>
      <c r="R15" s="263">
        <f>IFERROR((M15*'Staffing Planning Worksheet'!I25),0)</f>
        <v>389429.60699999996</v>
      </c>
      <c r="T15" s="275">
        <f>IFERROR((R15/$R$22),0)</f>
        <v>0.68642623746768072</v>
      </c>
    </row>
    <row r="16" spans="1:20">
      <c r="A16" s="246" t="s">
        <v>159</v>
      </c>
      <c r="B16" t="s">
        <v>145</v>
      </c>
      <c r="C16" s="179">
        <v>60</v>
      </c>
      <c r="D16" s="179" t="s">
        <v>172</v>
      </c>
      <c r="E16" s="341">
        <v>0.33</v>
      </c>
      <c r="F16" s="137">
        <f t="shared" si="1"/>
        <v>237.60000000000002</v>
      </c>
      <c r="G16" s="252"/>
      <c r="H16" s="246" t="s">
        <v>155</v>
      </c>
      <c r="I16" s="137">
        <f>SUMIF($B$14:$B$24, "IHBS (SFC 57)", $F$14:$F$24)</f>
        <v>2880</v>
      </c>
      <c r="J16" s="251">
        <f t="shared" si="2"/>
        <v>48</v>
      </c>
      <c r="K16" s="250"/>
      <c r="L16" s="246" t="s">
        <v>155</v>
      </c>
      <c r="M16" s="137">
        <f t="shared" si="3"/>
        <v>28800</v>
      </c>
      <c r="N16" s="251">
        <f t="shared" si="4"/>
        <v>480</v>
      </c>
      <c r="O16" s="250"/>
      <c r="P16" s="246" t="s">
        <v>155</v>
      </c>
      <c r="Q16" s="266">
        <f t="shared" si="0"/>
        <v>14006.16</v>
      </c>
      <c r="R16" s="263">
        <f>IFERROR((M16*'Staffing Planning Worksheet'!J25),0)</f>
        <v>140061.6</v>
      </c>
      <c r="T16" s="275">
        <f>IFERROR((R16/$R$22),0)</f>
        <v>0.24687891052336791</v>
      </c>
    </row>
    <row r="17" spans="1:20">
      <c r="A17" s="246" t="s">
        <v>151</v>
      </c>
      <c r="B17" t="s">
        <v>145</v>
      </c>
      <c r="C17" s="179">
        <v>60</v>
      </c>
      <c r="D17" s="179" t="s">
        <v>172</v>
      </c>
      <c r="E17" s="341">
        <v>4</v>
      </c>
      <c r="F17" s="137">
        <f t="shared" si="1"/>
        <v>2880</v>
      </c>
      <c r="G17" s="249"/>
      <c r="H17" s="246" t="s">
        <v>156</v>
      </c>
      <c r="I17" s="137">
        <f>SUMIF($B$14:$B$24, "TBS (SFC 58)", $F$14:$F$24)</f>
        <v>0</v>
      </c>
      <c r="J17" s="251">
        <f t="shared" si="2"/>
        <v>0</v>
      </c>
      <c r="K17" s="250"/>
      <c r="L17" s="246" t="s">
        <v>156</v>
      </c>
      <c r="M17" s="137">
        <f t="shared" si="3"/>
        <v>0</v>
      </c>
      <c r="N17" s="251">
        <f t="shared" si="4"/>
        <v>0</v>
      </c>
      <c r="O17" s="250"/>
      <c r="P17" s="246" t="s">
        <v>156</v>
      </c>
      <c r="Q17" s="266">
        <f t="shared" si="0"/>
        <v>0</v>
      </c>
      <c r="R17" s="263">
        <f>IFERROR((M17*'Staffing Planning Worksheet'!K25),0)</f>
        <v>0</v>
      </c>
      <c r="T17" s="275">
        <f>IFERROR((R17/$R$22),0)</f>
        <v>0</v>
      </c>
    </row>
    <row r="18" spans="1:20">
      <c r="A18" s="246" t="s">
        <v>152</v>
      </c>
      <c r="B18" t="s">
        <v>145</v>
      </c>
      <c r="C18" s="179">
        <v>60</v>
      </c>
      <c r="D18" s="179" t="s">
        <v>172</v>
      </c>
      <c r="E18" s="341">
        <v>8</v>
      </c>
      <c r="F18" s="137">
        <f>(C18*E18*$F$4)/4.5</f>
        <v>1280</v>
      </c>
      <c r="G18" s="249"/>
      <c r="H18" s="246" t="s">
        <v>148</v>
      </c>
      <c r="I18" s="137">
        <f>SUMIF($B$14:$B$24, "MSS (SFC 60)", $F$14:$F$24)</f>
        <v>0</v>
      </c>
      <c r="J18" s="251">
        <f t="shared" si="2"/>
        <v>0</v>
      </c>
      <c r="K18" s="250"/>
      <c r="L18" s="246" t="s">
        <v>148</v>
      </c>
      <c r="M18" s="137">
        <f t="shared" si="3"/>
        <v>0</v>
      </c>
      <c r="N18" s="251">
        <f t="shared" si="4"/>
        <v>0</v>
      </c>
      <c r="O18" s="250"/>
      <c r="P18" s="246" t="s">
        <v>148</v>
      </c>
      <c r="Q18" s="266">
        <f t="shared" si="0"/>
        <v>0</v>
      </c>
      <c r="R18" s="263">
        <f>IFERROR((M18*'Staffing Planning Worksheet'!L25),0)</f>
        <v>0</v>
      </c>
      <c r="T18" s="275">
        <f>IFERROR((R18/$R$22),0)</f>
        <v>0</v>
      </c>
    </row>
    <row r="19" spans="1:20">
      <c r="A19" s="246" t="s">
        <v>153</v>
      </c>
      <c r="B19" t="s">
        <v>145</v>
      </c>
      <c r="C19" s="179">
        <v>60</v>
      </c>
      <c r="D19" s="179" t="s">
        <v>172</v>
      </c>
      <c r="E19" s="341">
        <v>4</v>
      </c>
      <c r="F19" s="137">
        <f t="shared" si="1"/>
        <v>2880</v>
      </c>
      <c r="G19" s="249"/>
      <c r="H19" s="246"/>
      <c r="J19" s="253"/>
      <c r="L19" s="246"/>
      <c r="N19" s="253"/>
      <c r="P19" s="246" t="s">
        <v>408</v>
      </c>
      <c r="Q19" s="266">
        <f t="shared" si="0"/>
        <v>282.25330350000002</v>
      </c>
      <c r="R19" s="263">
        <f>SUM(R14:R18)*T19</f>
        <v>2822.5330349999999</v>
      </c>
      <c r="T19" s="347">
        <v>5.0000000000000001E-3</v>
      </c>
    </row>
    <row r="20" spans="1:20">
      <c r="A20" s="246" t="s">
        <v>167</v>
      </c>
      <c r="B20" t="s">
        <v>145</v>
      </c>
      <c r="C20" s="179">
        <v>60</v>
      </c>
      <c r="D20" s="179" t="s">
        <v>172</v>
      </c>
      <c r="E20" s="341">
        <v>4</v>
      </c>
      <c r="F20" s="137">
        <f>(C20*E20*$F$4)/4.5</f>
        <v>640</v>
      </c>
      <c r="G20" s="249"/>
      <c r="H20" s="246"/>
      <c r="J20" s="253"/>
      <c r="L20" s="246"/>
      <c r="N20" s="253"/>
      <c r="P20" s="246"/>
      <c r="R20" s="253"/>
      <c r="S20" t="s">
        <v>409</v>
      </c>
      <c r="T20" s="275">
        <f>SUM(T14:T19)</f>
        <v>1.0000248756218906</v>
      </c>
    </row>
    <row r="21" spans="1:20">
      <c r="A21" s="246" t="s">
        <v>163</v>
      </c>
      <c r="B21" t="s">
        <v>155</v>
      </c>
      <c r="C21" s="179">
        <v>60</v>
      </c>
      <c r="D21" s="179" t="s">
        <v>172</v>
      </c>
      <c r="E21" s="341">
        <v>4</v>
      </c>
      <c r="F21" s="137">
        <f t="shared" si="1"/>
        <v>2880</v>
      </c>
      <c r="G21" s="249"/>
      <c r="H21" s="246"/>
      <c r="J21" s="253"/>
      <c r="L21" s="246"/>
      <c r="N21" s="253"/>
      <c r="P21" s="246"/>
      <c r="Q21" s="267" t="s">
        <v>254</v>
      </c>
      <c r="R21" s="268" t="s">
        <v>255</v>
      </c>
    </row>
    <row r="22" spans="1:20">
      <c r="A22" s="246" t="s">
        <v>164</v>
      </c>
      <c r="B22" t="s">
        <v>156</v>
      </c>
      <c r="C22" s="179">
        <v>60</v>
      </c>
      <c r="D22" s="179" t="s">
        <v>172</v>
      </c>
      <c r="E22" s="341">
        <v>0</v>
      </c>
      <c r="F22" s="137">
        <f t="shared" si="1"/>
        <v>0</v>
      </c>
      <c r="G22" s="249"/>
      <c r="H22" s="246"/>
      <c r="J22" s="253"/>
      <c r="L22" s="246"/>
      <c r="N22" s="253"/>
      <c r="P22" s="246"/>
      <c r="Q22" s="263">
        <f>SUM(Q14:Q21)</f>
        <v>56732.914003499995</v>
      </c>
      <c r="R22" s="263">
        <f>SUM(R14:R21)</f>
        <v>567329.14003499993</v>
      </c>
    </row>
    <row r="23" spans="1:20">
      <c r="A23" s="246" t="s">
        <v>161</v>
      </c>
      <c r="B23" t="s">
        <v>148</v>
      </c>
      <c r="C23" s="179">
        <v>90</v>
      </c>
      <c r="D23" s="179" t="s">
        <v>171</v>
      </c>
      <c r="E23" s="341">
        <v>0</v>
      </c>
      <c r="F23" s="137">
        <f t="shared" si="1"/>
        <v>0</v>
      </c>
      <c r="G23" s="249"/>
      <c r="H23" s="246"/>
      <c r="J23" s="253"/>
      <c r="L23" s="246"/>
      <c r="N23" s="253"/>
      <c r="P23" s="246"/>
      <c r="R23" s="253"/>
    </row>
    <row r="24" spans="1:20">
      <c r="A24" s="246" t="s">
        <v>162</v>
      </c>
      <c r="B24" t="s">
        <v>148</v>
      </c>
      <c r="C24" s="179">
        <v>30</v>
      </c>
      <c r="D24" s="179" t="s">
        <v>172</v>
      </c>
      <c r="E24" s="341">
        <v>0</v>
      </c>
      <c r="F24" s="137">
        <f t="shared" si="1"/>
        <v>0</v>
      </c>
      <c r="G24" s="249"/>
      <c r="H24" s="246"/>
      <c r="J24" s="253"/>
      <c r="L24" s="246"/>
      <c r="N24" s="253"/>
      <c r="P24" s="246"/>
      <c r="R24" s="253"/>
    </row>
    <row r="25" spans="1:20">
      <c r="A25" s="246"/>
      <c r="C25" s="179"/>
      <c r="D25" s="179"/>
      <c r="H25" s="246"/>
      <c r="J25" s="253"/>
      <c r="L25" s="246"/>
      <c r="N25" s="253"/>
      <c r="P25" s="246"/>
      <c r="R25" s="253"/>
    </row>
    <row r="26" spans="1:20">
      <c r="A26" s="246"/>
      <c r="D26" s="179"/>
      <c r="H26" s="246"/>
      <c r="J26" s="253"/>
      <c r="L26" s="246"/>
      <c r="N26" s="253"/>
      <c r="P26" s="246"/>
      <c r="R26" s="253"/>
    </row>
    <row r="27" spans="1:20">
      <c r="A27" s="254"/>
      <c r="B27" s="255"/>
      <c r="C27" s="255"/>
      <c r="D27" s="256"/>
      <c r="E27" s="255"/>
      <c r="F27" s="255"/>
      <c r="G27" s="255"/>
      <c r="H27" s="254"/>
      <c r="I27" s="255"/>
      <c r="J27" s="257"/>
      <c r="K27" s="255"/>
      <c r="L27" s="254"/>
      <c r="M27" s="255"/>
      <c r="N27" s="257"/>
      <c r="O27" s="255"/>
      <c r="P27" s="254"/>
      <c r="Q27" s="255"/>
      <c r="R27" s="257"/>
    </row>
    <row r="30" spans="1:20" ht="13">
      <c r="A30" s="264"/>
      <c r="B30" s="264"/>
      <c r="C30" s="264"/>
      <c r="D30" s="265" t="s">
        <v>250</v>
      </c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</row>
    <row r="32" spans="1:20">
      <c r="A32" s="35" t="s">
        <v>251</v>
      </c>
      <c r="B32" s="269">
        <v>567329</v>
      </c>
    </row>
    <row r="33" spans="1:3">
      <c r="A33" s="35" t="s">
        <v>256</v>
      </c>
      <c r="B33" s="266">
        <f>Q22</f>
        <v>56732.914003499995</v>
      </c>
    </row>
    <row r="34" spans="1:3">
      <c r="A34" s="35" t="s">
        <v>257</v>
      </c>
      <c r="B34" s="137">
        <f>IFERROR((B32/B33),0)</f>
        <v>9.9999975316797585</v>
      </c>
    </row>
    <row r="37" spans="1:3">
      <c r="A37" s="246"/>
    </row>
    <row r="38" spans="1:3" ht="13">
      <c r="A38" s="260" t="s">
        <v>154</v>
      </c>
    </row>
    <row r="39" spans="1:3">
      <c r="A39" s="276" t="s">
        <v>147</v>
      </c>
      <c r="B39" s="180">
        <f t="shared" ref="B39:B44" si="5">IFERROR(($B$32*C39),0)</f>
        <v>35015.391357077948</v>
      </c>
      <c r="C39" s="275">
        <f>T14</f>
        <v>6.1719727630841978E-2</v>
      </c>
    </row>
    <row r="40" spans="1:3">
      <c r="A40" s="246" t="s">
        <v>145</v>
      </c>
      <c r="B40" s="180">
        <f t="shared" si="5"/>
        <v>389429.51087630185</v>
      </c>
      <c r="C40" s="275">
        <f t="shared" ref="C40:C44" si="6">T15</f>
        <v>0.68642623746768072</v>
      </c>
    </row>
    <row r="41" spans="1:3">
      <c r="A41" s="246" t="s">
        <v>155</v>
      </c>
      <c r="B41" s="180">
        <f t="shared" si="5"/>
        <v>140061.56542831179</v>
      </c>
      <c r="C41" s="275">
        <f t="shared" si="6"/>
        <v>0.24687891052336791</v>
      </c>
    </row>
    <row r="42" spans="1:3">
      <c r="A42" s="246" t="s">
        <v>156</v>
      </c>
      <c r="B42" s="180">
        <f t="shared" si="5"/>
        <v>0</v>
      </c>
      <c r="C42" s="275">
        <f t="shared" si="6"/>
        <v>0</v>
      </c>
    </row>
    <row r="43" spans="1:3">
      <c r="A43" s="246" t="s">
        <v>148</v>
      </c>
      <c r="B43" s="180">
        <f t="shared" si="5"/>
        <v>0</v>
      </c>
      <c r="C43" s="275">
        <f t="shared" si="6"/>
        <v>0</v>
      </c>
    </row>
    <row r="44" spans="1:3">
      <c r="A44" s="276" t="s">
        <v>408</v>
      </c>
      <c r="B44" s="180">
        <f t="shared" si="5"/>
        <v>2836.645</v>
      </c>
      <c r="C44" s="275">
        <f t="shared" si="6"/>
        <v>5.0000000000000001E-3</v>
      </c>
    </row>
    <row r="46" spans="1:3">
      <c r="B46" s="180">
        <f>SUM(B39:B45)</f>
        <v>567343.11266169162</v>
      </c>
      <c r="C46" s="275">
        <f>SUM(C39:C45)</f>
        <v>1.0000248756218906</v>
      </c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A6026-CBB6-40C4-9095-3EAAC222CBA4}">
  <sheetPr>
    <tabColor rgb="FF00B050"/>
  </sheetPr>
  <dimension ref="A4:M39"/>
  <sheetViews>
    <sheetView workbookViewId="0">
      <selection activeCell="B30" sqref="B30"/>
    </sheetView>
  </sheetViews>
  <sheetFormatPr defaultColWidth="69.453125" defaultRowHeight="12.5"/>
  <cols>
    <col min="1" max="1" width="41.81640625" customWidth="1"/>
    <col min="2" max="4" width="21.26953125" style="180" customWidth="1"/>
    <col min="5" max="5" width="7" customWidth="1"/>
    <col min="6" max="6" width="16.453125" bestFit="1" customWidth="1"/>
    <col min="7" max="7" width="17.54296875" bestFit="1" customWidth="1"/>
    <col min="8" max="8" width="9.453125" bestFit="1" customWidth="1"/>
    <col min="9" max="9" width="12.54296875" bestFit="1" customWidth="1"/>
    <col min="10" max="13" width="9.81640625" bestFit="1" customWidth="1"/>
  </cols>
  <sheetData>
    <row r="4" spans="1:13" ht="13.5" thickBot="1">
      <c r="A4" s="138"/>
      <c r="B4" s="232"/>
      <c r="C4" s="232"/>
      <c r="D4" s="232"/>
      <c r="E4" s="138"/>
      <c r="F4" s="186"/>
      <c r="G4" s="138"/>
      <c r="H4" s="509" t="s">
        <v>304</v>
      </c>
      <c r="I4" s="509"/>
      <c r="J4" s="509"/>
      <c r="K4" s="509"/>
      <c r="L4" s="509"/>
      <c r="M4" s="509"/>
    </row>
    <row r="5" spans="1:13" ht="42" customHeight="1" thickBot="1">
      <c r="A5" s="138"/>
      <c r="B5" s="233" t="str">
        <f>'SMHS Rates for Program'!B2</f>
        <v>Hourly Rate</v>
      </c>
      <c r="C5" s="233" t="str">
        <f>'SMHS Rates for Program'!C2</f>
        <v>Min Rate</v>
      </c>
      <c r="D5" s="233" t="s">
        <v>184</v>
      </c>
      <c r="E5" s="138"/>
      <c r="F5" s="237" t="s">
        <v>297</v>
      </c>
      <c r="G5" s="138"/>
      <c r="H5" s="297" t="s">
        <v>299</v>
      </c>
      <c r="I5" s="298" t="s">
        <v>300</v>
      </c>
      <c r="J5" s="298" t="s">
        <v>301</v>
      </c>
      <c r="K5" s="298" t="s">
        <v>271</v>
      </c>
      <c r="L5" s="298" t="s">
        <v>302</v>
      </c>
      <c r="M5" s="299" t="s">
        <v>303</v>
      </c>
    </row>
    <row r="6" spans="1:13" ht="13">
      <c r="A6" s="1" t="str">
        <f>RATES!A4</f>
        <v>Certified AOD Counselor</v>
      </c>
      <c r="B6" s="314">
        <f>'SMHS Rates for Program'!B3</f>
        <v>276.24</v>
      </c>
      <c r="C6" s="234">
        <f>'SMHS Rates for Program'!C3</f>
        <v>4.6040000000000001</v>
      </c>
      <c r="D6" s="234">
        <f>'SMHS Rates for Program'!D3</f>
        <v>4.6040000000000001</v>
      </c>
      <c r="E6" s="139"/>
      <c r="F6" s="261">
        <v>0</v>
      </c>
      <c r="G6" s="139"/>
      <c r="H6" s="270" t="s">
        <v>146</v>
      </c>
      <c r="I6" s="270" t="s">
        <v>146</v>
      </c>
      <c r="J6" s="270" t="s">
        <v>240</v>
      </c>
      <c r="K6" s="270" t="s">
        <v>240</v>
      </c>
      <c r="L6" s="270" t="s">
        <v>240</v>
      </c>
      <c r="M6" s="270" t="s">
        <v>146</v>
      </c>
    </row>
    <row r="7" spans="1:13">
      <c r="A7" s="1" t="str">
        <f>RATES!A5</f>
        <v>Community Health Worker</v>
      </c>
      <c r="B7" s="314">
        <f>'SMHS Rates for Program'!B4</f>
        <v>256.82</v>
      </c>
      <c r="C7" s="234">
        <f>'SMHS Rates for Program'!C4</f>
        <v>4.2803333333333331</v>
      </c>
      <c r="D7" s="234">
        <f>'SMHS Rates for Program'!D4</f>
        <v>4.2803333333333331</v>
      </c>
      <c r="E7" s="3"/>
      <c r="F7" s="261">
        <v>0</v>
      </c>
      <c r="G7" s="185"/>
      <c r="H7" s="270" t="s">
        <v>240</v>
      </c>
      <c r="I7" s="270" t="s">
        <v>146</v>
      </c>
      <c r="J7" s="270" t="s">
        <v>240</v>
      </c>
      <c r="K7" s="270" t="s">
        <v>240</v>
      </c>
      <c r="L7" s="270" t="s">
        <v>240</v>
      </c>
      <c r="M7" s="270" t="s">
        <v>240</v>
      </c>
    </row>
    <row r="8" spans="1:13">
      <c r="A8" s="1" t="str">
        <f>RATES!A6</f>
        <v>LCSW (Licensed, Waivered or Registered)</v>
      </c>
      <c r="B8" s="314">
        <f>'SMHS Rates for Program'!B5</f>
        <v>333.03</v>
      </c>
      <c r="C8" s="234">
        <f>'SMHS Rates for Program'!C5</f>
        <v>5.5504999999999995</v>
      </c>
      <c r="D8" s="234">
        <f>'SMHS Rates for Program'!D5</f>
        <v>5.5504999999999995</v>
      </c>
      <c r="E8" s="3"/>
      <c r="F8" s="261">
        <v>1</v>
      </c>
      <c r="G8" s="183"/>
      <c r="H8" s="270" t="s">
        <v>146</v>
      </c>
      <c r="I8" s="270" t="s">
        <v>146</v>
      </c>
      <c r="J8" s="270" t="s">
        <v>146</v>
      </c>
      <c r="K8" s="270" t="s">
        <v>240</v>
      </c>
      <c r="L8" s="270" t="s">
        <v>240</v>
      </c>
      <c r="M8" s="270" t="s">
        <v>146</v>
      </c>
    </row>
    <row r="9" spans="1:13">
      <c r="A9" s="1" t="str">
        <f>RATES!A7</f>
        <v>Licensed Physician</v>
      </c>
      <c r="B9" s="314">
        <f>'SMHS Rates for Program'!B6</f>
        <v>1279.6400000000001</v>
      </c>
      <c r="C9" s="234">
        <f>'SMHS Rates for Program'!C6</f>
        <v>21.327333333333335</v>
      </c>
      <c r="D9" s="234">
        <f>'SMHS Rates for Program'!D6</f>
        <v>21.327333333333335</v>
      </c>
      <c r="E9" s="3"/>
      <c r="F9" s="261">
        <v>1</v>
      </c>
      <c r="G9" s="3"/>
      <c r="H9" s="270" t="s">
        <v>240</v>
      </c>
      <c r="I9" s="270" t="s">
        <v>240</v>
      </c>
      <c r="J9" s="270" t="s">
        <v>240</v>
      </c>
      <c r="K9" s="270" t="s">
        <v>240</v>
      </c>
      <c r="L9" s="270" t="s">
        <v>146</v>
      </c>
      <c r="M9" s="270" t="s">
        <v>240</v>
      </c>
    </row>
    <row r="10" spans="1:13">
      <c r="A10" s="1" t="str">
        <f>RATES!A8</f>
        <v>Licensed Psychiatric Technician</v>
      </c>
      <c r="B10" s="314">
        <f>'SMHS Rates for Program'!B7</f>
        <v>234.08</v>
      </c>
      <c r="C10" s="234">
        <f>'SMHS Rates for Program'!C7</f>
        <v>3.9013333333333335</v>
      </c>
      <c r="D10" s="234">
        <f>'SMHS Rates for Program'!D7</f>
        <v>3.9013333333333335</v>
      </c>
      <c r="E10" s="3"/>
      <c r="F10" s="261">
        <v>0</v>
      </c>
      <c r="G10" s="3"/>
      <c r="H10" s="270" t="s">
        <v>240</v>
      </c>
      <c r="I10" s="270" t="s">
        <v>240</v>
      </c>
      <c r="J10" s="270" t="s">
        <v>240</v>
      </c>
      <c r="K10" s="270" t="s">
        <v>240</v>
      </c>
      <c r="L10" s="270" t="s">
        <v>146</v>
      </c>
      <c r="M10" s="270" t="s">
        <v>240</v>
      </c>
    </row>
    <row r="11" spans="1:13">
      <c r="A11" s="1" t="str">
        <f>RATES!A9</f>
        <v>Licensed Vocational Nurse</v>
      </c>
      <c r="B11" s="314">
        <f>'SMHS Rates for Program'!B8</f>
        <v>273.05</v>
      </c>
      <c r="C11" s="234">
        <f>'SMHS Rates for Program'!C8</f>
        <v>4.5508333333333333</v>
      </c>
      <c r="D11" s="234">
        <f>'SMHS Rates for Program'!D8</f>
        <v>4.5508333333333333</v>
      </c>
      <c r="E11" s="3"/>
      <c r="F11" s="261">
        <v>0</v>
      </c>
      <c r="G11" s="3"/>
      <c r="H11" s="270" t="s">
        <v>240</v>
      </c>
      <c r="I11" s="270" t="s">
        <v>240</v>
      </c>
      <c r="J11" s="270" t="s">
        <v>240</v>
      </c>
      <c r="K11" s="270" t="s">
        <v>240</v>
      </c>
      <c r="L11" s="270" t="s">
        <v>146</v>
      </c>
      <c r="M11" s="270" t="s">
        <v>240</v>
      </c>
    </row>
    <row r="12" spans="1:13">
      <c r="A12" s="1" t="str">
        <f>RATES!A10</f>
        <v>Medical Assistant</v>
      </c>
      <c r="B12" s="314">
        <f>'SMHS Rates for Program'!B9</f>
        <v>187.7</v>
      </c>
      <c r="C12" s="234">
        <f>'SMHS Rates for Program'!C9</f>
        <v>3.128333333333333</v>
      </c>
      <c r="D12" s="234">
        <f>'SMHS Rates for Program'!D9</f>
        <v>3.128333333333333</v>
      </c>
      <c r="E12" s="3"/>
      <c r="F12" s="261">
        <v>0</v>
      </c>
      <c r="G12" s="3"/>
      <c r="H12" s="270" t="s">
        <v>240</v>
      </c>
      <c r="I12" s="270" t="s">
        <v>240</v>
      </c>
      <c r="J12" s="270" t="s">
        <v>240</v>
      </c>
      <c r="K12" s="270" t="s">
        <v>240</v>
      </c>
      <c r="L12" s="270" t="s">
        <v>146</v>
      </c>
      <c r="M12" s="270" t="s">
        <v>240</v>
      </c>
    </row>
    <row r="13" spans="1:13">
      <c r="A13" s="1" t="str">
        <f>RATES!A11</f>
        <v>Mental Health Rehabilitation Specialist</v>
      </c>
      <c r="B13" s="314">
        <f>'SMHS Rates for Program'!B10</f>
        <v>250.56</v>
      </c>
      <c r="C13" s="234">
        <f>'SMHS Rates for Program'!C10</f>
        <v>4.1760000000000002</v>
      </c>
      <c r="D13" s="234">
        <f>'SMHS Rates for Program'!D10</f>
        <v>4.1760000000000002</v>
      </c>
      <c r="E13" s="3"/>
      <c r="F13" s="261">
        <v>1</v>
      </c>
      <c r="G13" s="3"/>
      <c r="H13" s="270" t="s">
        <v>146</v>
      </c>
      <c r="I13" s="270" t="s">
        <v>146</v>
      </c>
      <c r="J13" s="270" t="s">
        <v>146</v>
      </c>
      <c r="K13" s="270" t="s">
        <v>240</v>
      </c>
      <c r="L13" s="270" t="s">
        <v>240</v>
      </c>
      <c r="M13" s="270" t="s">
        <v>146</v>
      </c>
    </row>
    <row r="14" spans="1:13">
      <c r="A14" s="1" t="str">
        <f>RATES!A12</f>
        <v>MFT/LPCC (Licensed, Waivered or Registered)</v>
      </c>
      <c r="B14" s="314">
        <f>'SMHS Rates for Program'!B11</f>
        <v>333.03000000000003</v>
      </c>
      <c r="C14" s="234">
        <f>'SMHS Rates for Program'!C11</f>
        <v>5.5505000000000004</v>
      </c>
      <c r="D14" s="234">
        <f>'SMHS Rates for Program'!D11</f>
        <v>5.5505000000000004</v>
      </c>
      <c r="E14" s="3"/>
      <c r="F14" s="261">
        <v>0</v>
      </c>
      <c r="G14" s="3"/>
      <c r="H14" s="270" t="s">
        <v>146</v>
      </c>
      <c r="I14" s="270" t="s">
        <v>146</v>
      </c>
      <c r="J14" s="270" t="s">
        <v>146</v>
      </c>
      <c r="K14" s="270" t="s">
        <v>240</v>
      </c>
      <c r="L14" s="270" t="s">
        <v>240</v>
      </c>
      <c r="M14" s="270" t="s">
        <v>146</v>
      </c>
    </row>
    <row r="15" spans="1:13">
      <c r="A15" s="1" t="str">
        <f>RATES!A13</f>
        <v>Nurse Practitioner</v>
      </c>
      <c r="B15" s="314">
        <f>'SMHS Rates for Program'!B12</f>
        <v>636.34</v>
      </c>
      <c r="C15" s="234">
        <f>'SMHS Rates for Program'!C12</f>
        <v>10.605666666666668</v>
      </c>
      <c r="D15" s="234">
        <f>'SMHS Rates for Program'!D12</f>
        <v>10.605666666666668</v>
      </c>
      <c r="E15" s="3"/>
      <c r="F15" s="261">
        <v>0</v>
      </c>
      <c r="G15" s="3"/>
      <c r="H15" s="270" t="s">
        <v>240</v>
      </c>
      <c r="I15" s="270" t="s">
        <v>240</v>
      </c>
      <c r="J15" s="270" t="s">
        <v>240</v>
      </c>
      <c r="K15" s="270" t="s">
        <v>240</v>
      </c>
      <c r="L15" s="270" t="s">
        <v>146</v>
      </c>
      <c r="M15" s="270" t="s">
        <v>240</v>
      </c>
    </row>
    <row r="16" spans="1:13">
      <c r="A16" s="1" t="str">
        <f>RATES!A14</f>
        <v>Occupational Therapist</v>
      </c>
      <c r="B16" s="314">
        <f>'SMHS Rates for Program'!B13</f>
        <v>443.32000000000005</v>
      </c>
      <c r="C16" s="234">
        <f>'SMHS Rates for Program'!C13</f>
        <v>7.3886666666666674</v>
      </c>
      <c r="D16" s="234">
        <f>'SMHS Rates for Program'!D13</f>
        <v>7.3886666666666674</v>
      </c>
      <c r="E16" s="3"/>
      <c r="F16" s="261">
        <v>0</v>
      </c>
      <c r="G16" s="3"/>
      <c r="H16" s="270" t="s">
        <v>240</v>
      </c>
      <c r="I16" s="270" t="s">
        <v>146</v>
      </c>
      <c r="J16" s="270" t="s">
        <v>240</v>
      </c>
      <c r="K16" s="270" t="s">
        <v>240</v>
      </c>
      <c r="L16" s="270" t="s">
        <v>240</v>
      </c>
      <c r="M16" s="270" t="s">
        <v>240</v>
      </c>
    </row>
    <row r="17" spans="1:13">
      <c r="A17" s="1" t="str">
        <f>RATES!A15</f>
        <v>Other Qualified Practitioner</v>
      </c>
      <c r="B17" s="314">
        <f>'SMHS Rates for Program'!B14</f>
        <v>250.56</v>
      </c>
      <c r="C17" s="234">
        <f>'SMHS Rates for Program'!C14</f>
        <v>4.1760000000000002</v>
      </c>
      <c r="D17" s="234">
        <f>'SMHS Rates for Program'!D14</f>
        <v>4.1760000000000002</v>
      </c>
      <c r="E17" s="3"/>
      <c r="F17" s="261">
        <v>0</v>
      </c>
      <c r="G17" s="3"/>
      <c r="H17" s="270" t="s">
        <v>146</v>
      </c>
      <c r="I17" s="270" t="s">
        <v>146</v>
      </c>
      <c r="J17" s="270" t="s">
        <v>146</v>
      </c>
      <c r="K17" s="270" t="s">
        <v>240</v>
      </c>
      <c r="L17" s="270" t="s">
        <v>240</v>
      </c>
      <c r="M17" s="270" t="s">
        <v>146</v>
      </c>
    </row>
    <row r="18" spans="1:13">
      <c r="A18" s="1" t="str">
        <f>RATES!A16</f>
        <v>Peer Support Specialists</v>
      </c>
      <c r="B18" s="314">
        <f>'SMHS Rates for Program'!B15</f>
        <v>263.08999999999997</v>
      </c>
      <c r="C18" s="234">
        <f>'SMHS Rates for Program'!C15</f>
        <v>4.3848333333333329</v>
      </c>
      <c r="D18" s="234">
        <f>'SMHS Rates for Program'!D15</f>
        <v>4.3848333333333329</v>
      </c>
      <c r="E18" s="3"/>
      <c r="F18" s="261">
        <v>0</v>
      </c>
      <c r="G18" s="3"/>
      <c r="H18" s="270" t="s">
        <v>240</v>
      </c>
      <c r="I18" s="270" t="s">
        <v>146</v>
      </c>
      <c r="J18" s="270" t="s">
        <v>240</v>
      </c>
      <c r="K18" s="270" t="s">
        <v>240</v>
      </c>
      <c r="L18" s="270" t="s">
        <v>240</v>
      </c>
      <c r="M18" s="270" t="s">
        <v>240</v>
      </c>
    </row>
    <row r="19" spans="1:13">
      <c r="A19" s="1" t="str">
        <f>RATES!A17</f>
        <v>Physician Assistant</v>
      </c>
      <c r="B19" s="314">
        <f>'SMHS Rates for Program'!B16</f>
        <v>573.91999999999996</v>
      </c>
      <c r="C19" s="234">
        <f>'SMHS Rates for Program'!C16</f>
        <v>9.5653333333333332</v>
      </c>
      <c r="D19" s="234">
        <f>'SMHS Rates for Program'!D16</f>
        <v>9.5653333333333332</v>
      </c>
      <c r="E19" s="3"/>
      <c r="F19" s="261">
        <v>0</v>
      </c>
      <c r="G19" s="3"/>
      <c r="H19" s="270" t="s">
        <v>240</v>
      </c>
      <c r="I19" s="270" t="s">
        <v>240</v>
      </c>
      <c r="J19" s="270" t="s">
        <v>240</v>
      </c>
      <c r="K19" s="270" t="s">
        <v>240</v>
      </c>
      <c r="L19" s="270" t="s">
        <v>146</v>
      </c>
      <c r="M19" s="270" t="s">
        <v>240</v>
      </c>
    </row>
    <row r="20" spans="1:13">
      <c r="A20" s="1" t="str">
        <f>RATES!A18</f>
        <v>Psychologist (Licensed or Waivered)</v>
      </c>
      <c r="B20" s="314">
        <f>'SMHS Rates for Program'!B17</f>
        <v>514.63</v>
      </c>
      <c r="C20" s="234">
        <f>'SMHS Rates for Program'!C17</f>
        <v>8.5771666666666668</v>
      </c>
      <c r="D20" s="234">
        <f>'SMHS Rates for Program'!D17</f>
        <v>8.5771666666666668</v>
      </c>
      <c r="E20" s="3"/>
      <c r="F20" s="261">
        <v>0</v>
      </c>
      <c r="G20" s="3"/>
      <c r="H20" s="270" t="s">
        <v>240</v>
      </c>
      <c r="I20" s="270" t="s">
        <v>146</v>
      </c>
      <c r="J20" s="270" t="s">
        <v>240</v>
      </c>
      <c r="K20" s="270" t="s">
        <v>240</v>
      </c>
      <c r="L20" s="270" t="s">
        <v>240</v>
      </c>
      <c r="M20" s="270" t="s">
        <v>240</v>
      </c>
    </row>
    <row r="21" spans="1:13">
      <c r="A21" s="1" t="str">
        <f>RATES!A19</f>
        <v>Registered Nurse</v>
      </c>
      <c r="B21" s="314">
        <f>'SMHS Rates for Program'!B18</f>
        <v>519.77</v>
      </c>
      <c r="C21" s="234">
        <f>'SMHS Rates for Program'!C18</f>
        <v>8.6628333333333334</v>
      </c>
      <c r="D21" s="234">
        <f>'SMHS Rates for Program'!D18</f>
        <v>8.6628333333333334</v>
      </c>
      <c r="E21" s="89"/>
      <c r="F21" s="261">
        <v>0</v>
      </c>
      <c r="G21" s="3"/>
      <c r="H21" s="270" t="s">
        <v>240</v>
      </c>
      <c r="I21" s="270" t="s">
        <v>240</v>
      </c>
      <c r="J21" s="270" t="s">
        <v>240</v>
      </c>
      <c r="K21" s="270" t="s">
        <v>240</v>
      </c>
      <c r="L21" s="270" t="s">
        <v>146</v>
      </c>
      <c r="M21" s="270" t="s">
        <v>240</v>
      </c>
    </row>
    <row r="22" spans="1:13">
      <c r="A22" s="1"/>
      <c r="B22" s="219"/>
      <c r="C22" s="219"/>
      <c r="D22" s="219"/>
      <c r="E22" s="65"/>
      <c r="F22" s="222"/>
      <c r="G22" s="184"/>
    </row>
    <row r="23" spans="1:13">
      <c r="A23" s="1"/>
      <c r="B23" s="235"/>
      <c r="C23" s="235"/>
      <c r="D23" s="235"/>
      <c r="E23" s="3"/>
      <c r="F23" s="3"/>
      <c r="G23" s="3"/>
    </row>
    <row r="24" spans="1:13">
      <c r="A24" s="1"/>
      <c r="B24" s="235"/>
      <c r="C24" s="235"/>
      <c r="D24" s="235"/>
      <c r="E24" s="3"/>
      <c r="F24" s="3"/>
      <c r="G24" s="3"/>
    </row>
    <row r="25" spans="1:13" ht="16">
      <c r="A25" s="1"/>
      <c r="B25" s="221"/>
      <c r="C25" s="236"/>
      <c r="D25" s="221"/>
      <c r="E25" s="65"/>
      <c r="F25" s="65"/>
      <c r="G25" s="141" t="s">
        <v>178</v>
      </c>
      <c r="H25" s="224" cm="1">
        <f t="array" ref="H25">IFERROR(SUMPRODUCT((H6:H21="include")*$F6:$F21*$D6:$D21)/SUMIFS($F6:$F21,H6:H21,"Include"),"")</f>
        <v>4.8632499999999999</v>
      </c>
      <c r="I25" s="224" cm="1">
        <f t="array" ref="I25">IFERROR(SUMPRODUCT((I6:I21="include")*$F6:$F21*$D6:$D21)/SUMIFS($F6:$F21,I6:I21,"Include"),"")</f>
        <v>4.8632499999999999</v>
      </c>
      <c r="J25" s="224" cm="1">
        <f t="array" ref="J25">IFERROR(SUMPRODUCT((J6:J21="include")*$F6:$F21*$D6:$D21)/SUMIFS($F6:$F21,J6:J21,"Include"),"")</f>
        <v>4.8632499999999999</v>
      </c>
      <c r="K25" s="224" t="str" cm="1">
        <f t="array" ref="K25">IFERROR(SUMPRODUCT((K6:K21="include")*$F6:$F21*$D6:$D21)/SUMIFS($F6:$F21,K6:K21,"Include"),"")</f>
        <v/>
      </c>
      <c r="L25" s="224" cm="1">
        <f t="array" ref="L25">IFERROR(SUMPRODUCT((L6:L21="include")*$F6:$F21*$D6:$D21)/SUMIFS($F6:$F21,L6:L21,"Include"),"")</f>
        <v>21.327333333333335</v>
      </c>
      <c r="M25" s="224" cm="1">
        <f t="array" ref="M25">IFERROR(SUMPRODUCT((M6:M21="include")*$F6:$F21*$D6:$D21)/SUMIFS($F6:$F21,M6:M21,"Include"),"")</f>
        <v>4.8632499999999999</v>
      </c>
    </row>
    <row r="27" spans="1:13" ht="16">
      <c r="A27" s="239" t="s">
        <v>238</v>
      </c>
      <c r="H27" s="224"/>
    </row>
    <row r="28" spans="1:13">
      <c r="A28" s="35" t="s">
        <v>397</v>
      </c>
    </row>
    <row r="29" spans="1:13">
      <c r="A29" s="35" t="s">
        <v>398</v>
      </c>
    </row>
    <row r="30" spans="1:13">
      <c r="A30" s="35" t="s">
        <v>399</v>
      </c>
    </row>
    <row r="31" spans="1:13">
      <c r="A31" s="35" t="s">
        <v>400</v>
      </c>
    </row>
    <row r="32" spans="1:13">
      <c r="A32" s="35" t="s">
        <v>401</v>
      </c>
    </row>
    <row r="34" spans="1:1">
      <c r="A34" s="35" t="s">
        <v>241</v>
      </c>
    </row>
    <row r="35" spans="1:1">
      <c r="A35" s="35" t="s">
        <v>402</v>
      </c>
    </row>
    <row r="36" spans="1:1">
      <c r="A36" s="35" t="s">
        <v>242</v>
      </c>
    </row>
    <row r="37" spans="1:1">
      <c r="A37" s="35" t="s">
        <v>403</v>
      </c>
    </row>
    <row r="39" spans="1:1">
      <c r="A39" t="s">
        <v>243</v>
      </c>
    </row>
  </sheetData>
  <mergeCells count="1">
    <mergeCell ref="H4:M4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2972770-E802-4281-8575-A4BF16F8D592}">
          <x14:formula1>
            <xm:f>'List of Values'!$C$2:$C$3</xm:f>
          </x14:formula1>
          <xm:sqref>H6:M21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014C3-9ABE-4AD6-8D6B-FF234C32CFCF}">
  <sheetPr>
    <tabColor theme="4" tint="-0.249977111117893"/>
  </sheetPr>
  <dimension ref="A1:F7"/>
  <sheetViews>
    <sheetView workbookViewId="0">
      <selection activeCell="B17" sqref="B17"/>
    </sheetView>
  </sheetViews>
  <sheetFormatPr defaultRowHeight="12.5"/>
  <cols>
    <col min="2" max="2" width="24.7265625" customWidth="1"/>
    <col min="3" max="3" width="22.1796875" customWidth="1"/>
    <col min="5" max="5" width="10.7265625" bestFit="1" customWidth="1"/>
    <col min="6" max="6" width="15.54296875" bestFit="1" customWidth="1"/>
  </cols>
  <sheetData>
    <row r="1" spans="1:6" ht="13">
      <c r="A1" s="172" t="s">
        <v>170</v>
      </c>
      <c r="B1" s="172" t="s">
        <v>154</v>
      </c>
      <c r="C1" s="172" t="s">
        <v>239</v>
      </c>
      <c r="D1" s="172" t="s">
        <v>274</v>
      </c>
      <c r="E1" s="172" t="s">
        <v>308</v>
      </c>
      <c r="F1" s="172" t="s">
        <v>341</v>
      </c>
    </row>
    <row r="2" spans="1:6">
      <c r="A2" t="s">
        <v>171</v>
      </c>
      <c r="B2" t="s">
        <v>147</v>
      </c>
      <c r="C2" t="s">
        <v>146</v>
      </c>
      <c r="D2" t="s">
        <v>111</v>
      </c>
      <c r="E2" t="s">
        <v>309</v>
      </c>
      <c r="F2" t="s">
        <v>329</v>
      </c>
    </row>
    <row r="3" spans="1:6">
      <c r="A3" t="s">
        <v>172</v>
      </c>
      <c r="B3" t="s">
        <v>145</v>
      </c>
      <c r="C3" t="s">
        <v>240</v>
      </c>
      <c r="D3" t="s">
        <v>310</v>
      </c>
      <c r="E3" t="s">
        <v>310</v>
      </c>
      <c r="F3" t="s">
        <v>342</v>
      </c>
    </row>
    <row r="4" spans="1:6">
      <c r="B4" t="s">
        <v>155</v>
      </c>
    </row>
    <row r="5" spans="1:6">
      <c r="B5" t="s">
        <v>156</v>
      </c>
    </row>
    <row r="6" spans="1:6">
      <c r="B6" t="s">
        <v>148</v>
      </c>
    </row>
    <row r="7" spans="1:6">
      <c r="B7" t="s">
        <v>157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29cc761-1671-4384-865a-13a2ce0cf4f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4B9D5807EEAE4E8355AC1BA7F09D02" ma:contentTypeVersion="10" ma:contentTypeDescription="Create a new document." ma:contentTypeScope="" ma:versionID="ee718c15e5ff26ad74292cfab49a5a7f">
  <xsd:schema xmlns:xsd="http://www.w3.org/2001/XMLSchema" xmlns:xs="http://www.w3.org/2001/XMLSchema" xmlns:p="http://schemas.microsoft.com/office/2006/metadata/properties" xmlns:ns3="c29cc761-1671-4384-865a-13a2ce0cf4fc" targetNamespace="http://schemas.microsoft.com/office/2006/metadata/properties" ma:root="true" ma:fieldsID="fae93b053f04187f78533e1504b013c5" ns3:_="">
    <xsd:import namespace="c29cc761-1671-4384-865a-13a2ce0cf4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earchProperties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cc761-1671-4384-865a-13a2ce0cf4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D270AB-3DE5-4AFF-880E-1D4FB88440B4}">
  <ds:schemaRefs>
    <ds:schemaRef ds:uri="http://purl.org/dc/dcmitype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c29cc761-1671-4384-865a-13a2ce0cf4fc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B3EB601-DE45-4102-8577-93DF09C8AF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218D98-DD34-4951-BC21-64B9CA26B5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cc761-1671-4384-865a-13a2ce0cf4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Instructions</vt:lpstr>
      <vt:lpstr>PSAS Staff Instructions</vt:lpstr>
      <vt:lpstr>Schedule A</vt:lpstr>
      <vt:lpstr>Service Delivery Staff</vt:lpstr>
      <vt:lpstr>Other Staff</vt:lpstr>
      <vt:lpstr>Operating Costs</vt:lpstr>
      <vt:lpstr>Op. Cost Narrative</vt:lpstr>
      <vt:lpstr>Srv Proj Modes 05,10,15</vt:lpstr>
      <vt:lpstr>Dosage Estimates</vt:lpstr>
      <vt:lpstr>RATES</vt:lpstr>
      <vt:lpstr>Program Instructions</vt:lpstr>
      <vt:lpstr>Rates Utilized by DBH Per Min</vt:lpstr>
      <vt:lpstr>SMHS Rates for Program</vt:lpstr>
      <vt:lpstr>Service Planning Worksheet</vt:lpstr>
      <vt:lpstr>Staffing Planning Worksheet</vt:lpstr>
      <vt:lpstr>List of Values</vt:lpstr>
      <vt:lpstr>'Operating Costs'!Print_Area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Patrick, Eric DBH;Ann.Chestnut@dbh.sbcounty.gov</dc:creator>
  <cp:lastModifiedBy>Chestnut, Ann DBH</cp:lastModifiedBy>
  <cp:lastPrinted>2026-01-23T21:52:32Z</cp:lastPrinted>
  <dcterms:created xsi:type="dcterms:W3CDTF">2006-07-18T23:06:43Z</dcterms:created>
  <dcterms:modified xsi:type="dcterms:W3CDTF">2026-08-12T21:55:38Z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0x010100BE4B9D5807EEAE4E8355AC1BA7F09D02</vt:lpwstr>
  </property>
</Properties>
</file>